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25" yWindow="75" windowWidth="26850" windowHeight="12480" activeTab="0"/>
  </bookViews>
  <sheets>
    <sheet name="R2. 4. 1現在" sheetId="1" r:id="rId1"/>
    <sheet name="H31. 4. 1現在" sheetId="2" r:id="rId2"/>
    <sheet name="H30. 4. 1現在" sheetId="3" r:id="rId3"/>
    <sheet name="H29. 4. 1現在" sheetId="4" r:id="rId4"/>
    <sheet name="H28. 4. 1現在" sheetId="5" r:id="rId5"/>
    <sheet name="H27. 4. 1現在" sheetId="6" r:id="rId6"/>
    <sheet name="H26. 4. 1現在" sheetId="7" r:id="rId7"/>
    <sheet name="H25. 4. 1現在" sheetId="8" r:id="rId8"/>
    <sheet name="H24. 4. 1現在" sheetId="9" r:id="rId9"/>
    <sheet name="H23. 4. 1現在" sheetId="10" r:id="rId10"/>
    <sheet name="H22. 4. 1現在" sheetId="11" r:id="rId11"/>
    <sheet name="H21. 4. 1現在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<sst xmlns="http://schemas.openxmlformats.org/spreadsheetml/2006/main" count="522" uniqueCount="97">
  <si>
    <t>道路種別</t>
  </si>
  <si>
    <t>路線数</t>
  </si>
  <si>
    <t>実延長</t>
  </si>
  <si>
    <t>規格改良済延長（改良率）</t>
  </si>
  <si>
    <t>舗装済延長（舗装率）</t>
  </si>
  <si>
    <t>橋梁</t>
  </si>
  <si>
    <t>トンネル</t>
  </si>
  <si>
    <t>歩道等</t>
  </si>
  <si>
    <t>改良済（改良率）</t>
  </si>
  <si>
    <t>舗装済（舗装率）</t>
  </si>
  <si>
    <t>個数</t>
  </si>
  <si>
    <t>延長</t>
  </si>
  <si>
    <t>設置</t>
  </si>
  <si>
    <t>内5.5m以上（改良率）</t>
  </si>
  <si>
    <t>内簡易舗装を除く（舗装率）</t>
  </si>
  <si>
    <t>道路延長</t>
  </si>
  <si>
    <t>一般国道　　　（指定区間）</t>
  </si>
  <si>
    <t>一般国道　　　（指定区間外）</t>
  </si>
  <si>
    <t>一般国道　　　　合計</t>
  </si>
  <si>
    <t>主要地方道</t>
  </si>
  <si>
    <t>一般県道</t>
  </si>
  <si>
    <t>県道            合計</t>
  </si>
  <si>
    <t>一般国道・県道    合計</t>
  </si>
  <si>
    <t>県管理道路      合計</t>
  </si>
  <si>
    <t>一級市町村道</t>
  </si>
  <si>
    <t>二級市町村道</t>
  </si>
  <si>
    <t>一級･二級市町村道 合計</t>
  </si>
  <si>
    <t>市町村道路      合計</t>
  </si>
  <si>
    <t>総計</t>
  </si>
  <si>
    <t>道  路  現  況  の  総  括  （平成２１年４月１日現在）</t>
  </si>
  <si>
    <t>その他市町村道</t>
  </si>
  <si>
    <t>1.国道１９６号西日本高速道路(株)管理分を含む。</t>
  </si>
  <si>
    <t>2.国道３１７号本州四国連絡高速道路(株)管理分は、「一般国道指定区間」として含まれる。</t>
  </si>
  <si>
    <t>3.一般国道の路線数は、国道３１７号が「指定区間」と「指定区間外」に分かれている為、内訳と計が一致しない。</t>
  </si>
  <si>
    <t>4.一般県道今治大三島自転車道線及び松山川内自転車道線は、本表から除いている。</t>
  </si>
  <si>
    <t>5.本表は､少数第2位以下を四捨五入しているため､内訳と計が一致しないものがある｡</t>
  </si>
  <si>
    <t>その他市町村道</t>
  </si>
  <si>
    <t>4.一般県道今治大三島自転車道線及び松山川内自転車道線は、本表から除いている。</t>
  </si>
  <si>
    <t>5.本表は､少数第2位以下を四捨五入しているため､内訳と計が一致しないものがある｡</t>
  </si>
  <si>
    <t>道  路  現  況  の  総  括  （平成２２年４月１日現在）</t>
  </si>
  <si>
    <t>道  路  現  況  の  総  括  （平成２３年４月１日現在）</t>
  </si>
  <si>
    <t>6.一般県道藤縄長浜線を路線数に含んでいる。</t>
  </si>
  <si>
    <t>道  路  現  況  の  総  括  （平成２４年４月１日現在）</t>
  </si>
  <si>
    <t>その他市町村道</t>
  </si>
  <si>
    <t>4.一般県道今治大三島自転車道線及び松山川内自転車道線は、本表から除いている。</t>
  </si>
  <si>
    <t>5.本表は､少数第2位以下を四捨五入しているため､内訳と計が一致しないものがある｡</t>
  </si>
  <si>
    <t>6.一般県道藤縄長浜線を路線数に含んでいる。</t>
  </si>
  <si>
    <t>道  路  現  況  の  総  括  （平成２５年４月１日現在）</t>
  </si>
  <si>
    <t>4.一般県道今治大三島自転車道線及び松山川内自転車道線は、本表から除いている。</t>
  </si>
  <si>
    <t>5.本表は､少数第2位以下を四捨五入しているため､内訳と計が一致しないものがある｡</t>
  </si>
  <si>
    <t>6.一般県道藤縄長浜線を路線数に含んでいる。</t>
  </si>
  <si>
    <t>道  路  現  況  の  総  括  （平成２６年４月１日現在）</t>
  </si>
  <si>
    <t>一般国道</t>
  </si>
  <si>
    <t>（指定区間）</t>
  </si>
  <si>
    <t>一般国道</t>
  </si>
  <si>
    <t>合計</t>
  </si>
  <si>
    <t>県道</t>
  </si>
  <si>
    <t>県管理道路</t>
  </si>
  <si>
    <t>一級･二級市町</t>
  </si>
  <si>
    <t>村道 合計</t>
  </si>
  <si>
    <t>市町村道路</t>
  </si>
  <si>
    <t>一般国道・県道</t>
  </si>
  <si>
    <t>（指定区間外）</t>
  </si>
  <si>
    <t>その他市町村道</t>
  </si>
  <si>
    <t>一般国道</t>
  </si>
  <si>
    <t>（指定区間）</t>
  </si>
  <si>
    <t>（指定区間外）</t>
  </si>
  <si>
    <t>合計</t>
  </si>
  <si>
    <t>県道</t>
  </si>
  <si>
    <t>一般国道・県道</t>
  </si>
  <si>
    <t>県管理道路</t>
  </si>
  <si>
    <t>一級･二級市町</t>
  </si>
  <si>
    <t>村道 合計</t>
  </si>
  <si>
    <t>その他市町村道</t>
  </si>
  <si>
    <t>市町村道路</t>
  </si>
  <si>
    <t>4.一般県道今治大三島自転車道線及び松山川内自転車道線は、本表から除いている。</t>
  </si>
  <si>
    <t>5.本表は､少数第2位以下を四捨五入しているため､内訳と計が一致しないものがある｡</t>
  </si>
  <si>
    <t>6.一般県道藤縄長浜線を路線数に含んでいる。</t>
  </si>
  <si>
    <t>道  路  現  況  の  総  括  （平成２８年４月１日現在）</t>
  </si>
  <si>
    <t>道  路  現  況  の  総  括  （平成２７年４月１日現在）</t>
  </si>
  <si>
    <t>一般国道</t>
  </si>
  <si>
    <t>（指定区間）</t>
  </si>
  <si>
    <t>（指定区間外）</t>
  </si>
  <si>
    <t>一般国道</t>
  </si>
  <si>
    <t>合計</t>
  </si>
  <si>
    <t>一級･二級市町</t>
  </si>
  <si>
    <t>村道 合計</t>
  </si>
  <si>
    <t>その他市町村道</t>
  </si>
  <si>
    <t>市町村道路</t>
  </si>
  <si>
    <t>合計</t>
  </si>
  <si>
    <t>4.一般県道今治大三島自転車道線及び松山川内自転車道線は、本表から除いている。</t>
  </si>
  <si>
    <t>5.本表は､少数第2位以下を四捨五入しているため､内訳と計が一致しないものがある｡</t>
  </si>
  <si>
    <t>6.一般県道藤縄長浜線を路線数に含んでいる。</t>
  </si>
  <si>
    <t>道  路  現  況  の  総  括  （平成２９年４月１日現在）</t>
  </si>
  <si>
    <t>道  路  現  況  の  総  括  （平成３０年４月１日現在）</t>
  </si>
  <si>
    <t>道  路  現  況  の  総  括  （平成３１年４月１日現在）</t>
  </si>
  <si>
    <t>道  路  現  況  の  総  括  （令和２年４月１日現在）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</si>
</sst>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);\(0.0\)"/>
    <numFmt numFmtId="178" formatCode="\(???.?\)"/>
    <numFmt numFmtId="179" formatCode="\(???.0\)"/>
    <numFmt numFmtId="180" formatCode="0_ "/>
    <numFmt numFmtId="181" formatCode="#,##0.0_ "/>
    <numFmt numFmtId="182" formatCode="#,##0_ "/>
    <numFmt numFmtId="183" formatCode="#,##0_);[Red]\(#,##0\)"/>
    <numFmt numFmtId="184" formatCode="#,##0.0_);[Red]\(#,##0.0\)"/>
    <numFmt numFmtId="185" formatCode="#,##0.00_ "/>
    <numFmt numFmtId="186" formatCode="#,##0.000_ 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0.0_);[Red]\(0.0\)"/>
    <numFmt numFmtId="192" formatCode="#########.000"/>
    <numFmt numFmtId="193" formatCode="0.00_);[Red]\(0.00\)"/>
    <numFmt numFmtId="194" formatCode="0.000_);[Red]\(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single"/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10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181" fontId="5" fillId="0" borderId="14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center" vertical="center"/>
    </xf>
    <xf numFmtId="181" fontId="5" fillId="0" borderId="16" xfId="0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center" vertical="center"/>
    </xf>
    <xf numFmtId="181" fontId="5" fillId="0" borderId="18" xfId="0" applyNumberFormat="1" applyFont="1" applyBorder="1" applyAlignment="1">
      <alignment horizontal="center" vertical="center"/>
    </xf>
    <xf numFmtId="181" fontId="5" fillId="0" borderId="18" xfId="0" applyNumberFormat="1" applyFont="1" applyBorder="1" applyAlignment="1">
      <alignment horizontal="right" vertical="center"/>
    </xf>
    <xf numFmtId="181" fontId="5" fillId="0" borderId="1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1" fontId="5" fillId="0" borderId="14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center" vertical="center"/>
    </xf>
    <xf numFmtId="181" fontId="5" fillId="0" borderId="16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center" vertical="center"/>
    </xf>
    <xf numFmtId="181" fontId="5" fillId="0" borderId="18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indent="2"/>
    </xf>
    <xf numFmtId="182" fontId="5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81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indent="2"/>
    </xf>
    <xf numFmtId="0" fontId="7" fillId="0" borderId="0" xfId="0" applyFont="1" applyFill="1" applyAlignment="1">
      <alignment horizontal="center" vertical="center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7" fillId="0" borderId="1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91" fontId="5" fillId="0" borderId="13" xfId="0" applyNumberFormat="1" applyFont="1" applyFill="1" applyBorder="1" applyAlignment="1">
      <alignment vertical="center"/>
    </xf>
    <xf numFmtId="191" fontId="5" fillId="0" borderId="14" xfId="67" applyNumberFormat="1" applyFont="1" applyFill="1" applyBorder="1" applyAlignment="1">
      <alignment vertical="center"/>
      <protection/>
    </xf>
    <xf numFmtId="179" fontId="5" fillId="0" borderId="15" xfId="67" applyNumberFormat="1" applyFont="1" applyFill="1" applyBorder="1" applyAlignment="1">
      <alignment vertical="center" wrapText="1"/>
      <protection/>
    </xf>
    <xf numFmtId="191" fontId="5" fillId="0" borderId="19" xfId="67" applyNumberFormat="1" applyFont="1" applyFill="1" applyBorder="1" applyAlignment="1">
      <alignment vertical="center"/>
      <protection/>
    </xf>
    <xf numFmtId="179" fontId="5" fillId="0" borderId="17" xfId="67" applyNumberFormat="1" applyFont="1" applyFill="1" applyBorder="1" applyAlignment="1">
      <alignment vertical="center" wrapText="1"/>
      <protection/>
    </xf>
    <xf numFmtId="191" fontId="5" fillId="0" borderId="20" xfId="67" applyNumberFormat="1" applyFont="1" applyFill="1" applyBorder="1" applyAlignment="1">
      <alignment vertical="center"/>
      <protection/>
    </xf>
    <xf numFmtId="179" fontId="5" fillId="0" borderId="21" xfId="0" applyNumberFormat="1" applyFont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91" fontId="5" fillId="0" borderId="14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191" fontId="5" fillId="0" borderId="19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91" fontId="5" fillId="0" borderId="2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91" fontId="5" fillId="0" borderId="10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80" fontId="5" fillId="32" borderId="13" xfId="0" applyNumberFormat="1" applyFont="1" applyFill="1" applyBorder="1" applyAlignment="1">
      <alignment vertical="center"/>
    </xf>
    <xf numFmtId="191" fontId="5" fillId="32" borderId="13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180" fontId="5" fillId="0" borderId="22" xfId="0" applyNumberFormat="1" applyFont="1" applyFill="1" applyBorder="1" applyAlignment="1">
      <alignment horizontal="right"/>
    </xf>
    <xf numFmtId="181" fontId="5" fillId="0" borderId="22" xfId="0" applyNumberFormat="1" applyFont="1" applyFill="1" applyBorder="1" applyAlignment="1">
      <alignment horizontal="right"/>
    </xf>
    <xf numFmtId="183" fontId="5" fillId="0" borderId="22" xfId="0" applyNumberFormat="1" applyFont="1" applyFill="1" applyBorder="1" applyAlignment="1">
      <alignment horizontal="right"/>
    </xf>
    <xf numFmtId="184" fontId="5" fillId="0" borderId="22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182" fontId="5" fillId="0" borderId="10" xfId="0" applyNumberFormat="1" applyFont="1" applyFill="1" applyBorder="1" applyAlignment="1">
      <alignment horizontal="right"/>
    </xf>
    <xf numFmtId="182" fontId="5" fillId="0" borderId="13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181" fontId="5" fillId="0" borderId="10" xfId="0" applyNumberFormat="1" applyFont="1" applyFill="1" applyBorder="1" applyAlignment="1">
      <alignment horizontal="right"/>
    </xf>
    <xf numFmtId="181" fontId="5" fillId="0" borderId="1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183" fontId="5" fillId="33" borderId="22" xfId="0" applyNumberFormat="1" applyFont="1" applyFill="1" applyBorder="1" applyAlignment="1">
      <alignment horizontal="right"/>
    </xf>
    <xf numFmtId="184" fontId="5" fillId="0" borderId="22" xfId="0" applyNumberFormat="1" applyFont="1" applyBorder="1" applyAlignment="1">
      <alignment horizontal="right"/>
    </xf>
    <xf numFmtId="181" fontId="5" fillId="0" borderId="22" xfId="0" applyNumberFormat="1" applyFont="1" applyBorder="1" applyAlignment="1">
      <alignment horizontal="right"/>
    </xf>
    <xf numFmtId="0" fontId="5" fillId="0" borderId="22" xfId="0" applyFont="1" applyBorder="1" applyAlignment="1">
      <alignment horizontal="distributed" vertical="center"/>
    </xf>
    <xf numFmtId="182" fontId="5" fillId="0" borderId="22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0" fontId="5" fillId="0" borderId="22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83" fontId="5" fillId="0" borderId="22" xfId="0" applyNumberFormat="1" applyFont="1" applyBorder="1" applyAlignment="1">
      <alignment horizontal="right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Sheet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981825" y="11525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591425" y="114300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7534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391650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944225" y="11430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1105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9063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647700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6013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9538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6492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647700</xdr:colOff>
      <xdr:row>5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06013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19538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26492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647700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6013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9538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6492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647700</xdr:colOff>
      <xdr:row>5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06013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19538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26492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8147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3530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99122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11517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72477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52500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647700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887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396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9349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61950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418147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3530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99122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711517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72477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52500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647700</xdr:colOff>
      <xdr:row>5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0887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22396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29349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715327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71525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52500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715327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71525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88682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952500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981825" y="11525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591425" y="114300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7534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391650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944225" y="11430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1105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9063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981825" y="11525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591425" y="114300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7534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391650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944225" y="11430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1105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9063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981825" y="11525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591425" y="114300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7534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391650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944225" y="11430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1105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9063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981825" y="11525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591425" y="114300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7534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391650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944225" y="11430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1105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9063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981825" y="11525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5</xdr:row>
      <xdr:rowOff>19050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591425" y="1143000"/>
          <a:ext cx="304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7534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9391650" y="114300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0944225" y="1143000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12211050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4" name="Text Box 11"/>
        <xdr:cNvSpPr txBox="1">
          <a:spLocks noChangeArrowheads="1"/>
        </xdr:cNvSpPr>
      </xdr:nvSpPr>
      <xdr:spPr>
        <a:xfrm>
          <a:off x="12906375" y="1143000"/>
          <a:ext cx="304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5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9818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5914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7534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3916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944225" y="11430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2110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9063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16</xdr:col>
      <xdr:colOff>676275</xdr:colOff>
      <xdr:row>4</xdr:row>
      <xdr:rowOff>19050</xdr:rowOff>
    </xdr:from>
    <xdr:to>
      <xdr:col>16</xdr:col>
      <xdr:colOff>676275</xdr:colOff>
      <xdr:row>5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13963650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601325" y="11430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8681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5634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0601325" y="11430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18681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25634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17</xdr:col>
      <xdr:colOff>676275</xdr:colOff>
      <xdr:row>4</xdr:row>
      <xdr:rowOff>19050</xdr:rowOff>
    </xdr:from>
    <xdr:to>
      <xdr:col>17</xdr:col>
      <xdr:colOff>676275</xdr:colOff>
      <xdr:row>5</xdr:row>
      <xdr:rowOff>9525</xdr:rowOff>
    </xdr:to>
    <xdr:sp>
      <xdr:nvSpPr>
        <xdr:cNvPr id="36" name="Text Box 3"/>
        <xdr:cNvSpPr txBox="1">
          <a:spLocks noChangeArrowheads="1"/>
        </xdr:cNvSpPr>
      </xdr:nvSpPr>
      <xdr:spPr>
        <a:xfrm>
          <a:off x="14297025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17</xdr:col>
      <xdr:colOff>676275</xdr:colOff>
      <xdr:row>4</xdr:row>
      <xdr:rowOff>19050</xdr:rowOff>
    </xdr:from>
    <xdr:to>
      <xdr:col>17</xdr:col>
      <xdr:colOff>676275</xdr:colOff>
      <xdr:row>5</xdr:row>
      <xdr:rowOff>9525</xdr:rowOff>
    </xdr:to>
    <xdr:sp>
      <xdr:nvSpPr>
        <xdr:cNvPr id="37" name="Text Box 17"/>
        <xdr:cNvSpPr txBox="1">
          <a:spLocks noChangeArrowheads="1"/>
        </xdr:cNvSpPr>
      </xdr:nvSpPr>
      <xdr:spPr>
        <a:xfrm>
          <a:off x="14297025" y="11430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601325" y="11430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8681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25634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0</xdr:col>
      <xdr:colOff>47625</xdr:colOff>
      <xdr:row>32</xdr:row>
      <xdr:rowOff>0</xdr:rowOff>
    </xdr:from>
    <xdr:to>
      <xdr:col>0</xdr:col>
      <xdr:colOff>447675</xdr:colOff>
      <xdr:row>33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47625" y="7524750"/>
          <a:ext cx="400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3</xdr:col>
      <xdr:colOff>819150</xdr:colOff>
      <xdr:row>4</xdr:row>
      <xdr:rowOff>19050</xdr:rowOff>
    </xdr:from>
    <xdr:to>
      <xdr:col>4</xdr:col>
      <xdr:colOff>0</xdr:colOff>
      <xdr:row>4</xdr:row>
      <xdr:rowOff>219075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333750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4</xdr:col>
      <xdr:colOff>257175</xdr:colOff>
      <xdr:row>4</xdr:row>
      <xdr:rowOff>28575</xdr:rowOff>
    </xdr:from>
    <xdr:to>
      <xdr:col>4</xdr:col>
      <xdr:colOff>561975</xdr:colOff>
      <xdr:row>4</xdr:row>
      <xdr:rowOff>219075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895725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5</xdr:col>
      <xdr:colOff>428625</xdr:colOff>
      <xdr:row>4</xdr:row>
      <xdr:rowOff>19050</xdr:rowOff>
    </xdr:from>
    <xdr:to>
      <xdr:col>5</xdr:col>
      <xdr:colOff>733425</xdr:colOff>
      <xdr:row>5</xdr:row>
      <xdr:rowOff>9525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06730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6</xdr:col>
      <xdr:colOff>247650</xdr:colOff>
      <xdr:row>4</xdr:row>
      <xdr:rowOff>19050</xdr:rowOff>
    </xdr:from>
    <xdr:to>
      <xdr:col>6</xdr:col>
      <xdr:colOff>552450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705475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781050</xdr:colOff>
      <xdr:row>4</xdr:row>
      <xdr:rowOff>28575</xdr:rowOff>
    </xdr:from>
    <xdr:to>
      <xdr:col>8</xdr:col>
      <xdr:colOff>9525</xdr:colOff>
      <xdr:row>4</xdr:row>
      <xdr:rowOff>209550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829425" y="1152525"/>
          <a:ext cx="352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266700</xdr:colOff>
      <xdr:row>4</xdr:row>
      <xdr:rowOff>19050</xdr:rowOff>
    </xdr:from>
    <xdr:to>
      <xdr:col>8</xdr:col>
      <xdr:colOff>571500</xdr:colOff>
      <xdr:row>4</xdr:row>
      <xdr:rowOff>180975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439025" y="1143000"/>
          <a:ext cx="304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12</xdr:col>
      <xdr:colOff>342900</xdr:colOff>
      <xdr:row>4</xdr:row>
      <xdr:rowOff>19050</xdr:rowOff>
    </xdr:from>
    <xdr:to>
      <xdr:col>12</xdr:col>
      <xdr:colOff>590550</xdr:colOff>
      <xdr:row>5</xdr:row>
      <xdr:rowOff>9525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0601325" y="11430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14</xdr:col>
      <xdr:colOff>342900</xdr:colOff>
      <xdr:row>4</xdr:row>
      <xdr:rowOff>19050</xdr:rowOff>
    </xdr:from>
    <xdr:to>
      <xdr:col>14</xdr:col>
      <xdr:colOff>647700</xdr:colOff>
      <xdr:row>5</xdr:row>
      <xdr:rowOff>9525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1868150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15</xdr:col>
      <xdr:colOff>352425</xdr:colOff>
      <xdr:row>4</xdr:row>
      <xdr:rowOff>19050</xdr:rowOff>
    </xdr:from>
    <xdr:to>
      <xdr:col>15</xdr:col>
      <xdr:colOff>657225</xdr:colOff>
      <xdr:row>5</xdr:row>
      <xdr:rowOff>9525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25634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7</xdr:col>
      <xdr:colOff>819150</xdr:colOff>
      <xdr:row>4</xdr:row>
      <xdr:rowOff>19050</xdr:rowOff>
    </xdr:from>
    <xdr:to>
      <xdr:col>8</xdr:col>
      <xdr:colOff>0</xdr:colOff>
      <xdr:row>4</xdr:row>
      <xdr:rowOff>219075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867525" y="11430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8</xdr:col>
      <xdr:colOff>257175</xdr:colOff>
      <xdr:row>4</xdr:row>
      <xdr:rowOff>28575</xdr:rowOff>
    </xdr:from>
    <xdr:to>
      <xdr:col>8</xdr:col>
      <xdr:colOff>561975</xdr:colOff>
      <xdr:row>4</xdr:row>
      <xdr:rowOff>219075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7429500" y="1152525"/>
          <a:ext cx="304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  <xdr:twoCellAnchor>
    <xdr:from>
      <xdr:col>9</xdr:col>
      <xdr:colOff>428625</xdr:colOff>
      <xdr:row>4</xdr:row>
      <xdr:rowOff>19050</xdr:rowOff>
    </xdr:from>
    <xdr:to>
      <xdr:col>9</xdr:col>
      <xdr:colOff>733425</xdr:colOff>
      <xdr:row>5</xdr:row>
      <xdr:rowOff>9525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8601075" y="114300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twoCellAnchor>
  <xdr:twoCellAnchor>
    <xdr:from>
      <xdr:col>10</xdr:col>
      <xdr:colOff>247650</xdr:colOff>
      <xdr:row>4</xdr:row>
      <xdr:rowOff>19050</xdr:rowOff>
    </xdr:from>
    <xdr:to>
      <xdr:col>10</xdr:col>
      <xdr:colOff>552450</xdr:colOff>
      <xdr:row>5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9239250" y="1143000"/>
          <a:ext cx="304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B32" sqref="B32"/>
    </sheetView>
  </sheetViews>
  <sheetFormatPr defaultColWidth="8.875" defaultRowHeight="13.5"/>
  <cols>
    <col min="1" max="1" width="14.25390625" style="14" customWidth="1"/>
    <col min="2" max="2" width="8.875" style="32" customWidth="1"/>
    <col min="3" max="3" width="9.875" style="36" customWidth="1"/>
    <col min="4" max="4" width="14.75390625" style="36" customWidth="1"/>
    <col min="5" max="5" width="13.125" style="32" customWidth="1"/>
    <col min="6" max="6" width="10.75390625" style="36" customWidth="1"/>
    <col min="7" max="7" width="9.75390625" style="32" customWidth="1"/>
    <col min="8" max="8" width="14.75390625" style="36" customWidth="1"/>
    <col min="9" max="9" width="13.125" style="32" customWidth="1"/>
    <col min="10" max="10" width="10.75390625" style="36" customWidth="1"/>
    <col min="11" max="11" width="10.25390625" style="32" customWidth="1"/>
    <col min="12" max="12" width="8.875" style="32" customWidth="1"/>
    <col min="13" max="13" width="7.75390625" style="36" bestFit="1" customWidth="1"/>
    <col min="14" max="14" width="8.875" style="32" customWidth="1"/>
    <col min="15" max="15" width="9.00390625" style="36" bestFit="1" customWidth="1"/>
    <col min="16" max="16" width="9.625" style="36" bestFit="1" customWidth="1"/>
    <col min="17" max="16384" width="8.875" style="32" customWidth="1"/>
  </cols>
  <sheetData>
    <row r="1" spans="1:16" ht="36" customHeight="1">
      <c r="A1" s="75" t="s">
        <v>96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5.5" customHeight="1">
      <c r="A2" s="76" t="s">
        <v>0</v>
      </c>
      <c r="B2" s="76" t="s">
        <v>1</v>
      </c>
      <c r="C2" s="78" t="s">
        <v>2</v>
      </c>
      <c r="D2" s="80" t="s">
        <v>3</v>
      </c>
      <c r="E2" s="80"/>
      <c r="F2" s="80"/>
      <c r="G2" s="80"/>
      <c r="H2" s="80" t="s">
        <v>4</v>
      </c>
      <c r="I2" s="80"/>
      <c r="J2" s="80"/>
      <c r="K2" s="80"/>
      <c r="L2" s="76" t="s">
        <v>5</v>
      </c>
      <c r="M2" s="76"/>
      <c r="N2" s="76" t="s">
        <v>6</v>
      </c>
      <c r="O2" s="76"/>
      <c r="P2" s="27" t="s">
        <v>7</v>
      </c>
    </row>
    <row r="3" spans="1:16" ht="13.5">
      <c r="A3" s="76"/>
      <c r="B3" s="76"/>
      <c r="C3" s="79"/>
      <c r="D3" s="81"/>
      <c r="E3" s="82"/>
      <c r="F3" s="82" t="s">
        <v>8</v>
      </c>
      <c r="G3" s="83"/>
      <c r="H3" s="86"/>
      <c r="I3" s="87"/>
      <c r="J3" s="82" t="s">
        <v>9</v>
      </c>
      <c r="K3" s="83"/>
      <c r="L3" s="88" t="s">
        <v>10</v>
      </c>
      <c r="M3" s="80" t="s">
        <v>11</v>
      </c>
      <c r="N3" s="76" t="s">
        <v>10</v>
      </c>
      <c r="O3" s="80" t="s">
        <v>11</v>
      </c>
      <c r="P3" s="28" t="s">
        <v>12</v>
      </c>
    </row>
    <row r="4" spans="1:16" ht="13.5">
      <c r="A4" s="76"/>
      <c r="B4" s="77"/>
      <c r="C4" s="79"/>
      <c r="D4" s="81" t="s">
        <v>13</v>
      </c>
      <c r="E4" s="83"/>
      <c r="F4" s="84"/>
      <c r="G4" s="85"/>
      <c r="H4" s="81" t="s">
        <v>14</v>
      </c>
      <c r="I4" s="83"/>
      <c r="J4" s="84"/>
      <c r="K4" s="85"/>
      <c r="L4" s="89"/>
      <c r="M4" s="78"/>
      <c r="N4" s="77"/>
      <c r="O4" s="78"/>
      <c r="P4" s="29" t="s">
        <v>15</v>
      </c>
    </row>
    <row r="5" spans="1:16" ht="18" customHeight="1">
      <c r="A5" s="64" t="s">
        <v>52</v>
      </c>
      <c r="B5" s="38"/>
      <c r="C5" s="41"/>
      <c r="D5" s="66"/>
      <c r="E5" s="73"/>
      <c r="F5" s="73"/>
      <c r="G5" s="74"/>
      <c r="H5" s="66"/>
      <c r="I5" s="73"/>
      <c r="J5" s="73"/>
      <c r="K5" s="73"/>
      <c r="L5" s="38"/>
      <c r="M5" s="41"/>
      <c r="N5" s="38"/>
      <c r="O5" s="41"/>
      <c r="P5" s="41"/>
    </row>
    <row r="6" spans="1:16" ht="18" customHeight="1">
      <c r="A6" s="65" t="s">
        <v>53</v>
      </c>
      <c r="B6" s="44">
        <v>6</v>
      </c>
      <c r="C6" s="45">
        <f>469224/1000</f>
        <v>469.224</v>
      </c>
      <c r="D6" s="53">
        <f>469224/1000</f>
        <v>469.224</v>
      </c>
      <c r="E6" s="54">
        <f>D6/C6*100</f>
        <v>100</v>
      </c>
      <c r="F6" s="55">
        <f>469224/1000</f>
        <v>469.224</v>
      </c>
      <c r="G6" s="56">
        <f>F6/C6*100</f>
        <v>100</v>
      </c>
      <c r="H6" s="57">
        <f>469224/1000</f>
        <v>469.224</v>
      </c>
      <c r="I6" s="54">
        <f>H6/C6*100</f>
        <v>100</v>
      </c>
      <c r="J6" s="55">
        <f>469224/1000</f>
        <v>469.224</v>
      </c>
      <c r="K6" s="56">
        <f>J6/C6*100</f>
        <v>100</v>
      </c>
      <c r="L6" s="44">
        <v>641</v>
      </c>
      <c r="M6" s="45">
        <f>40368/1000</f>
        <v>40.368</v>
      </c>
      <c r="N6" s="44">
        <v>52</v>
      </c>
      <c r="O6" s="45">
        <f>28499/1000</f>
        <v>28.499</v>
      </c>
      <c r="P6" s="45">
        <f>341416/1000</f>
        <v>341.416</v>
      </c>
    </row>
    <row r="7" spans="1:16" ht="18" customHeight="1">
      <c r="A7" s="27" t="s">
        <v>52</v>
      </c>
      <c r="B7" s="38"/>
      <c r="C7" s="41"/>
      <c r="D7" s="40"/>
      <c r="E7" s="61"/>
      <c r="F7" s="40"/>
      <c r="G7" s="62"/>
      <c r="H7" s="40"/>
      <c r="I7" s="61"/>
      <c r="J7" s="40"/>
      <c r="K7" s="61"/>
      <c r="L7" s="38"/>
      <c r="M7" s="41"/>
      <c r="N7" s="38"/>
      <c r="O7" s="41"/>
      <c r="P7" s="41"/>
    </row>
    <row r="8" spans="1:16" ht="18" customHeight="1">
      <c r="A8" s="70" t="s">
        <v>62</v>
      </c>
      <c r="B8" s="44">
        <v>13</v>
      </c>
      <c r="C8" s="45">
        <f>613006/1000</f>
        <v>613.006</v>
      </c>
      <c r="D8" s="46">
        <f>503157/1000</f>
        <v>503.157</v>
      </c>
      <c r="E8" s="54">
        <f>D8/C8*100</f>
        <v>82.08027327628115</v>
      </c>
      <c r="F8" s="48">
        <f>543799/1000</f>
        <v>543.799</v>
      </c>
      <c r="G8" s="49">
        <f>F8/C8*100</f>
        <v>88.71022469600624</v>
      </c>
      <c r="H8" s="50">
        <f>463176/1000</f>
        <v>463.176</v>
      </c>
      <c r="I8" s="54">
        <f>H8/C8*100</f>
        <v>75.55815114370822</v>
      </c>
      <c r="J8" s="48">
        <f>610664/1000</f>
        <v>610.664</v>
      </c>
      <c r="K8" s="56">
        <f>J8/C8*100</f>
        <v>99.61794827456828</v>
      </c>
      <c r="L8" s="44">
        <v>579</v>
      </c>
      <c r="M8" s="45">
        <f>20863/1000</f>
        <v>20.863</v>
      </c>
      <c r="N8" s="44">
        <v>88</v>
      </c>
      <c r="O8" s="45">
        <f>49616/1000</f>
        <v>49.616</v>
      </c>
      <c r="P8" s="45">
        <f>365562/1000</f>
        <v>365.562</v>
      </c>
    </row>
    <row r="9" spans="1:16" ht="18" customHeight="1">
      <c r="A9" s="27" t="s">
        <v>52</v>
      </c>
      <c r="B9" s="38"/>
      <c r="C9" s="41"/>
      <c r="D9" s="40"/>
      <c r="E9" s="42"/>
      <c r="F9" s="40"/>
      <c r="G9" s="52"/>
      <c r="H9" s="40"/>
      <c r="I9" s="42"/>
      <c r="J9" s="40"/>
      <c r="K9" s="42"/>
      <c r="L9" s="38"/>
      <c r="M9" s="41"/>
      <c r="N9" s="38"/>
      <c r="O9" s="41"/>
      <c r="P9" s="41"/>
    </row>
    <row r="10" spans="1:16" ht="18" customHeight="1">
      <c r="A10" s="29" t="s">
        <v>55</v>
      </c>
      <c r="B10" s="44">
        <f>B6+B8-1</f>
        <v>18</v>
      </c>
      <c r="C10" s="45">
        <f>C6+C8</f>
        <v>1082.23</v>
      </c>
      <c r="D10" s="53">
        <f>D6+D8</f>
        <v>972.381</v>
      </c>
      <c r="E10" s="54">
        <f>D10/C10*100</f>
        <v>89.84975467322103</v>
      </c>
      <c r="F10" s="55">
        <f>F6+F8</f>
        <v>1013.0229999999999</v>
      </c>
      <c r="G10" s="56">
        <f>F10/C10*100</f>
        <v>93.60514862829527</v>
      </c>
      <c r="H10" s="57">
        <f>H6+H8</f>
        <v>932.4</v>
      </c>
      <c r="I10" s="54">
        <f>H10/C10*100</f>
        <v>86.15543830793824</v>
      </c>
      <c r="J10" s="55">
        <f>J6+J8</f>
        <v>1079.888</v>
      </c>
      <c r="K10" s="56">
        <f>J10/C10*100</f>
        <v>99.7835949844303</v>
      </c>
      <c r="L10" s="44">
        <f>L6+L8</f>
        <v>1220</v>
      </c>
      <c r="M10" s="45">
        <f>M6+M8</f>
        <v>61.231</v>
      </c>
      <c r="N10" s="44">
        <f>N6+N8</f>
        <v>140</v>
      </c>
      <c r="O10" s="45">
        <f>O6+O8</f>
        <v>78.115</v>
      </c>
      <c r="P10" s="45">
        <f>P6+P8</f>
        <v>706.9780000000001</v>
      </c>
    </row>
    <row r="11" spans="1:16" ht="18" customHeight="1">
      <c r="A11" s="91" t="s">
        <v>19</v>
      </c>
      <c r="B11" s="38"/>
      <c r="C11" s="41"/>
      <c r="D11" s="40"/>
      <c r="E11" s="42"/>
      <c r="F11" s="40"/>
      <c r="G11" s="52"/>
      <c r="H11" s="40"/>
      <c r="I11" s="42"/>
      <c r="J11" s="40"/>
      <c r="K11" s="42"/>
      <c r="L11" s="38"/>
      <c r="M11" s="41"/>
      <c r="N11" s="38"/>
      <c r="O11" s="41"/>
      <c r="P11" s="41"/>
    </row>
    <row r="12" spans="1:16" ht="18" customHeight="1">
      <c r="A12" s="91"/>
      <c r="B12" s="44">
        <v>54</v>
      </c>
      <c r="C12" s="45">
        <f>1092441/1000</f>
        <v>1092.441</v>
      </c>
      <c r="D12" s="46">
        <f>760845/1000</f>
        <v>760.845</v>
      </c>
      <c r="E12" s="54">
        <f>D12/C12*100</f>
        <v>69.64632414931333</v>
      </c>
      <c r="F12" s="48">
        <f>890013/1000</f>
        <v>890.013</v>
      </c>
      <c r="G12" s="49">
        <f>F12/C12*100</f>
        <v>81.47012058317108</v>
      </c>
      <c r="H12" s="50">
        <f>640585/1000</f>
        <v>640.585</v>
      </c>
      <c r="I12" s="54">
        <f>H12/C12*100</f>
        <v>58.63794932632518</v>
      </c>
      <c r="J12" s="48">
        <f>1067084/1000</f>
        <v>1067.084</v>
      </c>
      <c r="K12" s="56">
        <f>J12/C12*100</f>
        <v>97.67886778324872</v>
      </c>
      <c r="L12" s="44">
        <v>768</v>
      </c>
      <c r="M12" s="45">
        <f>19002/1000</f>
        <v>19.002</v>
      </c>
      <c r="N12" s="44">
        <v>54</v>
      </c>
      <c r="O12" s="45">
        <f>21148/1000</f>
        <v>21.148</v>
      </c>
      <c r="P12" s="45">
        <f>383640/1000</f>
        <v>383.64</v>
      </c>
    </row>
    <row r="13" spans="1:16" ht="18" customHeight="1">
      <c r="A13" s="91" t="s">
        <v>20</v>
      </c>
      <c r="B13" s="38"/>
      <c r="C13" s="41"/>
      <c r="D13" s="40"/>
      <c r="E13" s="42"/>
      <c r="F13" s="40"/>
      <c r="G13" s="52"/>
      <c r="H13" s="40"/>
      <c r="I13" s="42"/>
      <c r="J13" s="40"/>
      <c r="K13" s="42"/>
      <c r="L13" s="38"/>
      <c r="M13" s="41"/>
      <c r="N13" s="38"/>
      <c r="O13" s="41"/>
      <c r="P13" s="41"/>
    </row>
    <row r="14" spans="1:16" ht="18" customHeight="1">
      <c r="A14" s="91"/>
      <c r="B14" s="44">
        <v>188</v>
      </c>
      <c r="C14" s="45">
        <f>1791724/1000</f>
        <v>1791.724</v>
      </c>
      <c r="D14" s="46">
        <f>754709/1000</f>
        <v>754.709</v>
      </c>
      <c r="E14" s="54">
        <f>D14/C14*100</f>
        <v>42.12194512101194</v>
      </c>
      <c r="F14" s="48">
        <f>1096538/1000</f>
        <v>1096.538</v>
      </c>
      <c r="G14" s="49">
        <f>F14/C14*100</f>
        <v>61.200162525031764</v>
      </c>
      <c r="H14" s="50">
        <f>598270/1000</f>
        <v>598.27</v>
      </c>
      <c r="I14" s="54">
        <f>H14/C14*100</f>
        <v>33.39074544963398</v>
      </c>
      <c r="J14" s="48">
        <f>1665440/1000</f>
        <v>1665.44</v>
      </c>
      <c r="K14" s="56">
        <f>J14/C14*100</f>
        <v>92.95181623955476</v>
      </c>
      <c r="L14" s="44">
        <v>1050</v>
      </c>
      <c r="M14" s="45">
        <f>16885/1000</f>
        <v>16.885</v>
      </c>
      <c r="N14" s="44">
        <v>25</v>
      </c>
      <c r="O14" s="45">
        <f>5661/1000</f>
        <v>5.661</v>
      </c>
      <c r="P14" s="45">
        <f>305754/1000</f>
        <v>305.754</v>
      </c>
    </row>
    <row r="15" spans="1:16" ht="18" customHeight="1">
      <c r="A15" s="27" t="s">
        <v>56</v>
      </c>
      <c r="B15" s="38"/>
      <c r="C15" s="41"/>
      <c r="D15" s="40"/>
      <c r="E15" s="42"/>
      <c r="F15" s="40"/>
      <c r="G15" s="52"/>
      <c r="H15" s="40"/>
      <c r="I15" s="42"/>
      <c r="J15" s="40"/>
      <c r="K15" s="42"/>
      <c r="L15" s="38"/>
      <c r="M15" s="41"/>
      <c r="N15" s="38"/>
      <c r="O15" s="41"/>
      <c r="P15" s="41"/>
    </row>
    <row r="16" spans="1:16" ht="18" customHeight="1">
      <c r="A16" s="29" t="s">
        <v>55</v>
      </c>
      <c r="B16" s="44">
        <f>B12+B14</f>
        <v>242</v>
      </c>
      <c r="C16" s="45">
        <f>C12+C14</f>
        <v>2884.165</v>
      </c>
      <c r="D16" s="53">
        <f>D12+D14</f>
        <v>1515.554</v>
      </c>
      <c r="E16" s="54">
        <f>D16/C16*100</f>
        <v>52.54740973557338</v>
      </c>
      <c r="F16" s="55">
        <f>F12+F14</f>
        <v>1986.551</v>
      </c>
      <c r="G16" s="56">
        <f>F16/C16*100</f>
        <v>68.87785546249955</v>
      </c>
      <c r="H16" s="57">
        <f>H12+H14</f>
        <v>1238.855</v>
      </c>
      <c r="I16" s="54">
        <f>H16/C16*100</f>
        <v>42.953679834544836</v>
      </c>
      <c r="J16" s="55">
        <f>J12+J14</f>
        <v>2732.5240000000003</v>
      </c>
      <c r="K16" s="56">
        <f>J16/C16*100</f>
        <v>94.74229109638318</v>
      </c>
      <c r="L16" s="44">
        <f>L12+L14</f>
        <v>1818</v>
      </c>
      <c r="M16" s="45">
        <f>M12+M14</f>
        <v>35.887</v>
      </c>
      <c r="N16" s="44">
        <f>N12+N14</f>
        <v>79</v>
      </c>
      <c r="O16" s="45">
        <f>O12+O14</f>
        <v>26.808999999999997</v>
      </c>
      <c r="P16" s="45">
        <f>P12+P14</f>
        <v>689.394</v>
      </c>
    </row>
    <row r="17" spans="1:16" ht="18" customHeight="1">
      <c r="A17" s="69" t="s">
        <v>61</v>
      </c>
      <c r="B17" s="58"/>
      <c r="C17" s="59"/>
      <c r="D17" s="60"/>
      <c r="E17" s="61"/>
      <c r="F17" s="60"/>
      <c r="G17" s="62"/>
      <c r="H17" s="60"/>
      <c r="I17" s="61"/>
      <c r="J17" s="60"/>
      <c r="K17" s="61"/>
      <c r="L17" s="58"/>
      <c r="M17" s="59"/>
      <c r="N17" s="58"/>
      <c r="O17" s="59"/>
      <c r="P17" s="59"/>
    </row>
    <row r="18" spans="1:16" ht="18" customHeight="1">
      <c r="A18" s="29" t="s">
        <v>55</v>
      </c>
      <c r="B18" s="44">
        <f>B10+B16</f>
        <v>260</v>
      </c>
      <c r="C18" s="45">
        <f>C10+C16</f>
        <v>3966.395</v>
      </c>
      <c r="D18" s="53">
        <f>D10+D16</f>
        <v>2487.935</v>
      </c>
      <c r="E18" s="54">
        <f>D18/C18*100</f>
        <v>62.72534631573507</v>
      </c>
      <c r="F18" s="55">
        <f>F10+F16</f>
        <v>2999.5739999999996</v>
      </c>
      <c r="G18" s="56">
        <f>F18/C18*100</f>
        <v>75.6246919431877</v>
      </c>
      <c r="H18" s="57">
        <f>H10+H16</f>
        <v>2171.255</v>
      </c>
      <c r="I18" s="54">
        <f>H18/C18*100</f>
        <v>54.74127009538889</v>
      </c>
      <c r="J18" s="55">
        <f>J10+J16</f>
        <v>3812.4120000000003</v>
      </c>
      <c r="K18" s="56">
        <f>J18/C18*100</f>
        <v>96.11780974915509</v>
      </c>
      <c r="L18" s="44">
        <f>L10+L16</f>
        <v>3038</v>
      </c>
      <c r="M18" s="45">
        <f>M10+M16</f>
        <v>97.118</v>
      </c>
      <c r="N18" s="44">
        <f>N10+N16</f>
        <v>219</v>
      </c>
      <c r="O18" s="45">
        <f>O10+O16</f>
        <v>104.92399999999999</v>
      </c>
      <c r="P18" s="45">
        <f>P10+P16</f>
        <v>1396.372</v>
      </c>
    </row>
    <row r="19" spans="1:16" ht="18" customHeight="1">
      <c r="A19" s="27" t="s">
        <v>57</v>
      </c>
      <c r="B19" s="58"/>
      <c r="C19" s="59"/>
      <c r="D19" s="60"/>
      <c r="E19" s="61"/>
      <c r="F19" s="60"/>
      <c r="G19" s="62"/>
      <c r="H19" s="60"/>
      <c r="I19" s="61"/>
      <c r="J19" s="60"/>
      <c r="K19" s="61"/>
      <c r="L19" s="58"/>
      <c r="M19" s="59"/>
      <c r="N19" s="58"/>
      <c r="O19" s="59"/>
      <c r="P19" s="59"/>
    </row>
    <row r="20" spans="1:16" ht="18" customHeight="1">
      <c r="A20" s="29" t="s">
        <v>55</v>
      </c>
      <c r="B20" s="44">
        <f>B8+B16</f>
        <v>255</v>
      </c>
      <c r="C20" s="45">
        <f>C8+C16</f>
        <v>3497.171</v>
      </c>
      <c r="D20" s="53">
        <f>D8+D16</f>
        <v>2018.711</v>
      </c>
      <c r="E20" s="54">
        <f>D20/C20*100</f>
        <v>57.72411472015524</v>
      </c>
      <c r="F20" s="55">
        <f>F8+F16</f>
        <v>2530.35</v>
      </c>
      <c r="G20" s="56">
        <f>F20/C20*100</f>
        <v>72.35419714963895</v>
      </c>
      <c r="H20" s="57">
        <f>H8+H16</f>
        <v>1702.031</v>
      </c>
      <c r="I20" s="54">
        <f>H20/C20*100</f>
        <v>48.6687954349387</v>
      </c>
      <c r="J20" s="55">
        <f>J8+J16</f>
        <v>3343.188</v>
      </c>
      <c r="K20" s="56">
        <f>J20/C20*100</f>
        <v>95.59692677309747</v>
      </c>
      <c r="L20" s="44">
        <f>L8+L16</f>
        <v>2397</v>
      </c>
      <c r="M20" s="45">
        <f>M8+M16</f>
        <v>56.75</v>
      </c>
      <c r="N20" s="44">
        <f>N8+N16</f>
        <v>167</v>
      </c>
      <c r="O20" s="45">
        <f>O8+O16</f>
        <v>76.425</v>
      </c>
      <c r="P20" s="45">
        <f>P8+P16</f>
        <v>1054.9560000000001</v>
      </c>
    </row>
    <row r="21" spans="1:16" ht="18" customHeight="1">
      <c r="A21" s="91" t="s">
        <v>24</v>
      </c>
      <c r="B21" s="38"/>
      <c r="C21" s="41"/>
      <c r="D21" s="40"/>
      <c r="E21" s="42"/>
      <c r="F21" s="40"/>
      <c r="G21" s="52"/>
      <c r="H21" s="40"/>
      <c r="I21" s="42"/>
      <c r="J21" s="40"/>
      <c r="K21" s="42"/>
      <c r="L21" s="38"/>
      <c r="M21" s="41"/>
      <c r="N21" s="38"/>
      <c r="O21" s="41"/>
      <c r="P21" s="41"/>
    </row>
    <row r="22" spans="1:16" ht="18" customHeight="1">
      <c r="A22" s="91"/>
      <c r="B22" s="44">
        <v>1066</v>
      </c>
      <c r="C22" s="45">
        <f>1565407/1000</f>
        <v>1565.407</v>
      </c>
      <c r="D22" s="53">
        <f>591684/1000</f>
        <v>591.684</v>
      </c>
      <c r="E22" s="54">
        <f>D22/C22*100</f>
        <v>37.797454591681266</v>
      </c>
      <c r="F22" s="55">
        <f>1261304/1000</f>
        <v>1261.304</v>
      </c>
      <c r="G22" s="56">
        <f>F22/C22*100</f>
        <v>80.57355052072721</v>
      </c>
      <c r="H22" s="57">
        <f>308395/1000</f>
        <v>308.395</v>
      </c>
      <c r="I22" s="54">
        <f>H22/C22*100</f>
        <v>19.70062737677805</v>
      </c>
      <c r="J22" s="55">
        <f>1512378/1000</f>
        <v>1512.378</v>
      </c>
      <c r="K22" s="56">
        <f>J22/C22*100</f>
        <v>96.61244647558111</v>
      </c>
      <c r="L22" s="44">
        <v>1156</v>
      </c>
      <c r="M22" s="45">
        <f>20157/1000</f>
        <v>20.157</v>
      </c>
      <c r="N22" s="44">
        <v>19</v>
      </c>
      <c r="O22" s="45">
        <f>4648/1000</f>
        <v>4.648</v>
      </c>
      <c r="P22" s="45">
        <f>304492/1000</f>
        <v>304.492</v>
      </c>
    </row>
    <row r="23" spans="1:16" ht="18" customHeight="1">
      <c r="A23" s="91" t="s">
        <v>25</v>
      </c>
      <c r="B23" s="38"/>
      <c r="C23" s="41"/>
      <c r="D23" s="40"/>
      <c r="E23" s="42"/>
      <c r="F23" s="40"/>
      <c r="G23" s="52"/>
      <c r="H23" s="40"/>
      <c r="I23" s="42"/>
      <c r="J23" s="40"/>
      <c r="K23" s="42"/>
      <c r="L23" s="38"/>
      <c r="M23" s="41"/>
      <c r="N23" s="38"/>
      <c r="O23" s="41"/>
      <c r="P23" s="41"/>
    </row>
    <row r="24" spans="1:16" ht="18" customHeight="1">
      <c r="A24" s="91"/>
      <c r="B24" s="44">
        <v>1396</v>
      </c>
      <c r="C24" s="45">
        <f>1645445/1000</f>
        <v>1645.445</v>
      </c>
      <c r="D24" s="53">
        <f>238624/1000</f>
        <v>238.624</v>
      </c>
      <c r="E24" s="54">
        <f>D24/C24*100</f>
        <v>14.502095177900204</v>
      </c>
      <c r="F24" s="55">
        <f>1075059/1000</f>
        <v>1075.059</v>
      </c>
      <c r="G24" s="56">
        <f>F24/C24*100</f>
        <v>65.33545636590709</v>
      </c>
      <c r="H24" s="57">
        <f>150830/1000</f>
        <v>150.83</v>
      </c>
      <c r="I24" s="54">
        <f>H24/C24*100</f>
        <v>9.166517264326671</v>
      </c>
      <c r="J24" s="55">
        <f>1554258/1000</f>
        <v>1554.258</v>
      </c>
      <c r="K24" s="56">
        <f>J24/C24*100</f>
        <v>94.45821647031654</v>
      </c>
      <c r="L24" s="44">
        <v>1228</v>
      </c>
      <c r="M24" s="45">
        <f>13861/1000</f>
        <v>13.861</v>
      </c>
      <c r="N24" s="44">
        <v>4</v>
      </c>
      <c r="O24" s="45">
        <f>640/1000</f>
        <v>0.64</v>
      </c>
      <c r="P24" s="45">
        <f>79542/1000</f>
        <v>79.542</v>
      </c>
    </row>
    <row r="25" spans="1:16" ht="18" customHeight="1">
      <c r="A25" s="27" t="s">
        <v>58</v>
      </c>
      <c r="B25" s="38"/>
      <c r="C25" s="41"/>
      <c r="D25" s="40"/>
      <c r="E25" s="42"/>
      <c r="F25" s="40"/>
      <c r="G25" s="52"/>
      <c r="H25" s="40"/>
      <c r="I25" s="42"/>
      <c r="J25" s="40"/>
      <c r="K25" s="42"/>
      <c r="L25" s="38"/>
      <c r="M25" s="41"/>
      <c r="N25" s="38"/>
      <c r="O25" s="41"/>
      <c r="P25" s="41"/>
    </row>
    <row r="26" spans="1:16" ht="18" customHeight="1">
      <c r="A26" s="29" t="s">
        <v>59</v>
      </c>
      <c r="B26" s="44">
        <f>B22+B24</f>
        <v>2462</v>
      </c>
      <c r="C26" s="45">
        <f>C22+C24</f>
        <v>3210.852</v>
      </c>
      <c r="D26" s="53">
        <f>D22+D24</f>
        <v>830.308</v>
      </c>
      <c r="E26" s="54">
        <f>D26/C26*100</f>
        <v>25.85942921068925</v>
      </c>
      <c r="F26" s="55">
        <f>F22+F24</f>
        <v>2336.3630000000003</v>
      </c>
      <c r="G26" s="56">
        <f>F26/C26*100</f>
        <v>72.7645808651411</v>
      </c>
      <c r="H26" s="57">
        <f>H22+H24</f>
        <v>459.225</v>
      </c>
      <c r="I26" s="54">
        <f>H26/C26*100</f>
        <v>14.302278647536543</v>
      </c>
      <c r="J26" s="55">
        <f>J22+J24</f>
        <v>3066.636</v>
      </c>
      <c r="K26" s="56">
        <f>J26/C26*100</f>
        <v>95.50848186088926</v>
      </c>
      <c r="L26" s="44">
        <f>L22+L24</f>
        <v>2384</v>
      </c>
      <c r="M26" s="45">
        <f>M22+M24</f>
        <v>34.018</v>
      </c>
      <c r="N26" s="44">
        <f>N22+N24</f>
        <v>23</v>
      </c>
      <c r="O26" s="45">
        <f>O22+O24</f>
        <v>5.287999999999999</v>
      </c>
      <c r="P26" s="45">
        <f>P22+P24</f>
        <v>384.034</v>
      </c>
    </row>
    <row r="27" spans="1:16" ht="18" customHeight="1">
      <c r="A27" s="90" t="s">
        <v>30</v>
      </c>
      <c r="B27" s="38"/>
      <c r="C27" s="41"/>
      <c r="D27" s="40"/>
      <c r="E27" s="42"/>
      <c r="F27" s="40"/>
      <c r="G27" s="52"/>
      <c r="H27" s="40"/>
      <c r="I27" s="42"/>
      <c r="J27" s="40"/>
      <c r="K27" s="42"/>
      <c r="L27" s="38"/>
      <c r="M27" s="41"/>
      <c r="N27" s="38"/>
      <c r="O27" s="41"/>
      <c r="P27" s="41"/>
    </row>
    <row r="28" spans="1:16" ht="18" customHeight="1">
      <c r="A28" s="90"/>
      <c r="B28" s="44">
        <v>27182</v>
      </c>
      <c r="C28" s="45">
        <f>11081535/1000</f>
        <v>11081.535</v>
      </c>
      <c r="D28" s="53">
        <f>798195/1000</f>
        <v>798.195</v>
      </c>
      <c r="E28" s="54">
        <f>D28/C28*100</f>
        <v>7.202928114200787</v>
      </c>
      <c r="F28" s="55">
        <f>5035427/1000</f>
        <v>5035.427</v>
      </c>
      <c r="G28" s="56">
        <f>F28/C28*100</f>
        <v>45.43979692344065</v>
      </c>
      <c r="H28" s="57">
        <f>1379547/1000</f>
        <v>1379.547</v>
      </c>
      <c r="I28" s="54">
        <f>H28/C28*100</f>
        <v>12.44906053177651</v>
      </c>
      <c r="J28" s="55">
        <f>9140831/1000</f>
        <v>9140.831</v>
      </c>
      <c r="K28" s="56">
        <f>J28/C28*100</f>
        <v>82.48704714644677</v>
      </c>
      <c r="L28" s="44">
        <v>6852</v>
      </c>
      <c r="M28" s="45">
        <f>62180/1000</f>
        <v>62.18</v>
      </c>
      <c r="N28" s="44">
        <v>36</v>
      </c>
      <c r="O28" s="45">
        <f>7210/1000</f>
        <v>7.21</v>
      </c>
      <c r="P28" s="45">
        <f>220663/1000</f>
        <v>220.663</v>
      </c>
    </row>
    <row r="29" spans="1:16" ht="18" customHeight="1">
      <c r="A29" s="27" t="s">
        <v>60</v>
      </c>
      <c r="B29" s="38"/>
      <c r="C29" s="41"/>
      <c r="D29" s="40"/>
      <c r="E29" s="42"/>
      <c r="F29" s="40"/>
      <c r="G29" s="52"/>
      <c r="H29" s="40"/>
      <c r="I29" s="42"/>
      <c r="J29" s="40"/>
      <c r="K29" s="42"/>
      <c r="L29" s="38"/>
      <c r="M29" s="41"/>
      <c r="N29" s="38"/>
      <c r="O29" s="41"/>
      <c r="P29" s="41"/>
    </row>
    <row r="30" spans="1:16" ht="18" customHeight="1">
      <c r="A30" s="29" t="s">
        <v>55</v>
      </c>
      <c r="B30" s="44">
        <f>B26+B28</f>
        <v>29644</v>
      </c>
      <c r="C30" s="45">
        <f>C26+C28</f>
        <v>14292.386999999999</v>
      </c>
      <c r="D30" s="53">
        <f>D26+D28</f>
        <v>1628.5030000000002</v>
      </c>
      <c r="E30" s="54">
        <f>D30/C30*100</f>
        <v>11.394198883643442</v>
      </c>
      <c r="F30" s="55">
        <f>F26+F28</f>
        <v>7371.79</v>
      </c>
      <c r="G30" s="56">
        <f>F30/C30*100</f>
        <v>51.578438227288416</v>
      </c>
      <c r="H30" s="57">
        <f>H26+H28</f>
        <v>1838.772</v>
      </c>
      <c r="I30" s="54">
        <f>H30/C30*100</f>
        <v>12.865394702788274</v>
      </c>
      <c r="J30" s="55">
        <f>J26+J28</f>
        <v>12207.467</v>
      </c>
      <c r="K30" s="56">
        <f>J30/C30*100</f>
        <v>85.41237373435243</v>
      </c>
      <c r="L30" s="44">
        <f>L26+L28</f>
        <v>9236</v>
      </c>
      <c r="M30" s="45">
        <f>M26+M28</f>
        <v>96.19800000000001</v>
      </c>
      <c r="N30" s="44">
        <f>N26+N28</f>
        <v>59</v>
      </c>
      <c r="O30" s="45">
        <f>O26+O28</f>
        <v>12.498</v>
      </c>
      <c r="P30" s="45">
        <f>P26+P28</f>
        <v>604.697</v>
      </c>
    </row>
    <row r="31" spans="1:16" ht="18" customHeight="1">
      <c r="A31" s="91" t="s">
        <v>28</v>
      </c>
      <c r="B31" s="38"/>
      <c r="C31" s="41"/>
      <c r="D31" s="40"/>
      <c r="E31" s="42"/>
      <c r="F31" s="40"/>
      <c r="G31" s="52"/>
      <c r="H31" s="40"/>
      <c r="I31" s="42"/>
      <c r="J31" s="40"/>
      <c r="K31" s="42"/>
      <c r="L31" s="38"/>
      <c r="M31" s="41"/>
      <c r="N31" s="38"/>
      <c r="O31" s="41"/>
      <c r="P31" s="41"/>
    </row>
    <row r="32" spans="1:16" ht="18" customHeight="1">
      <c r="A32" s="91"/>
      <c r="B32" s="44">
        <f>B18+B30</f>
        <v>29904</v>
      </c>
      <c r="C32" s="45">
        <f>C18+C30</f>
        <v>18258.782</v>
      </c>
      <c r="D32" s="53">
        <f>D18+D30</f>
        <v>4116.438</v>
      </c>
      <c r="E32" s="54">
        <f>D32/C32*100</f>
        <v>22.544975891601098</v>
      </c>
      <c r="F32" s="55">
        <f>F18+F30</f>
        <v>10371.364</v>
      </c>
      <c r="G32" s="56">
        <f>F32/C32*100</f>
        <v>56.8020583191146</v>
      </c>
      <c r="H32" s="57">
        <f>H18+H30</f>
        <v>4010.027</v>
      </c>
      <c r="I32" s="54">
        <f>H32/C32*100</f>
        <v>21.962182362437975</v>
      </c>
      <c r="J32" s="55">
        <f>J18+J30</f>
        <v>16019.879</v>
      </c>
      <c r="K32" s="56">
        <f>J32/C32*100</f>
        <v>87.73793892714203</v>
      </c>
      <c r="L32" s="44">
        <f>L18+L30</f>
        <v>12274</v>
      </c>
      <c r="M32" s="45">
        <f>M18+M30</f>
        <v>193.316</v>
      </c>
      <c r="N32" s="44">
        <f>N18+N30</f>
        <v>278</v>
      </c>
      <c r="O32" s="45">
        <f>O18+O30</f>
        <v>117.422</v>
      </c>
      <c r="P32" s="45">
        <f>P18+P30</f>
        <v>2001.069</v>
      </c>
    </row>
    <row r="33" spans="1:16" ht="14.25" customHeight="1">
      <c r="A33" s="31" t="s">
        <v>31</v>
      </c>
      <c r="B33" s="33"/>
      <c r="C33" s="39"/>
      <c r="D33" s="39"/>
      <c r="E33" s="34"/>
      <c r="F33" s="39"/>
      <c r="G33" s="34"/>
      <c r="H33" s="39"/>
      <c r="I33" s="34"/>
      <c r="J33" s="39"/>
      <c r="K33" s="34"/>
      <c r="L33" s="35"/>
      <c r="M33" s="37"/>
      <c r="N33" s="35"/>
      <c r="O33" s="37"/>
      <c r="P33" s="37"/>
    </row>
    <row r="34" ht="13.5">
      <c r="A34" s="31" t="s">
        <v>32</v>
      </c>
    </row>
    <row r="35" ht="13.5">
      <c r="A35" s="31" t="s">
        <v>33</v>
      </c>
    </row>
    <row r="36" ht="13.5">
      <c r="A36" s="31" t="s">
        <v>34</v>
      </c>
    </row>
    <row r="37" ht="13.5">
      <c r="A37" s="31" t="s">
        <v>35</v>
      </c>
    </row>
    <row r="38" ht="13.5">
      <c r="A38" s="31" t="s">
        <v>41</v>
      </c>
    </row>
  </sheetData>
  <sheetProtection/>
  <mergeCells count="24">
    <mergeCell ref="A27:A28"/>
    <mergeCell ref="A31:A32"/>
    <mergeCell ref="D4:E4"/>
    <mergeCell ref="H4:I4"/>
    <mergeCell ref="A11:A12"/>
    <mergeCell ref="A13:A14"/>
    <mergeCell ref="A21:A22"/>
    <mergeCell ref="A23:A24"/>
    <mergeCell ref="H3:I3"/>
    <mergeCell ref="J3:K4"/>
    <mergeCell ref="L3:L4"/>
    <mergeCell ref="M3:M4"/>
    <mergeCell ref="N3:N4"/>
    <mergeCell ref="O3:O4"/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I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E22" sqref="E22"/>
    </sheetView>
  </sheetViews>
  <sheetFormatPr defaultColWidth="8.875" defaultRowHeight="13.5"/>
  <cols>
    <col min="1" max="1" width="14.25390625" style="1" customWidth="1"/>
    <col min="2" max="2" width="8.875" style="1" customWidth="1"/>
    <col min="3" max="3" width="9.875" style="1" customWidth="1"/>
    <col min="4" max="4" width="14.75390625" style="1" customWidth="1"/>
    <col min="5" max="5" width="13.125" style="1" customWidth="1"/>
    <col min="6" max="6" width="10.75390625" style="1" customWidth="1"/>
    <col min="7" max="7" width="7.75390625" style="1" customWidth="1"/>
    <col min="8" max="8" width="14.75390625" style="1" customWidth="1"/>
    <col min="9" max="9" width="13.125" style="1" customWidth="1"/>
    <col min="10" max="10" width="10.75390625" style="1" customWidth="1"/>
    <col min="11" max="11" width="7.75390625" style="1" customWidth="1"/>
    <col min="12" max="14" width="8.875" style="1" customWidth="1"/>
    <col min="15" max="15" width="9.00390625" style="1" bestFit="1" customWidth="1"/>
    <col min="16" max="16" width="10.00390625" style="1" bestFit="1" customWidth="1"/>
    <col min="17" max="16384" width="8.875" style="1" customWidth="1"/>
  </cols>
  <sheetData>
    <row r="1" spans="1:16" ht="36" customHeight="1">
      <c r="A1" s="126" t="s">
        <v>40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25.5" customHeight="1">
      <c r="A2" s="112" t="s">
        <v>0</v>
      </c>
      <c r="B2" s="112" t="s">
        <v>1</v>
      </c>
      <c r="C2" s="112" t="s">
        <v>2</v>
      </c>
      <c r="D2" s="127" t="s">
        <v>3</v>
      </c>
      <c r="E2" s="127"/>
      <c r="F2" s="127"/>
      <c r="G2" s="127"/>
      <c r="H2" s="127" t="s">
        <v>4</v>
      </c>
      <c r="I2" s="127"/>
      <c r="J2" s="127"/>
      <c r="K2" s="127"/>
      <c r="L2" s="112" t="s">
        <v>5</v>
      </c>
      <c r="M2" s="112"/>
      <c r="N2" s="112" t="s">
        <v>6</v>
      </c>
      <c r="O2" s="112"/>
      <c r="P2" s="2" t="s">
        <v>7</v>
      </c>
    </row>
    <row r="3" spans="1:16" ht="13.5">
      <c r="A3" s="112"/>
      <c r="B3" s="112"/>
      <c r="C3" s="112"/>
      <c r="D3" s="114"/>
      <c r="E3" s="115"/>
      <c r="F3" s="115" t="s">
        <v>8</v>
      </c>
      <c r="G3" s="117"/>
      <c r="H3" s="120"/>
      <c r="I3" s="122"/>
      <c r="J3" s="115" t="s">
        <v>9</v>
      </c>
      <c r="K3" s="117"/>
      <c r="L3" s="125" t="s">
        <v>10</v>
      </c>
      <c r="M3" s="112" t="s">
        <v>11</v>
      </c>
      <c r="N3" s="112" t="s">
        <v>10</v>
      </c>
      <c r="O3" s="112" t="s">
        <v>11</v>
      </c>
      <c r="P3" s="4" t="s">
        <v>12</v>
      </c>
    </row>
    <row r="4" spans="1:16" ht="13.5">
      <c r="A4" s="112"/>
      <c r="B4" s="112"/>
      <c r="C4" s="112"/>
      <c r="D4" s="120" t="s">
        <v>13</v>
      </c>
      <c r="E4" s="121"/>
      <c r="F4" s="123"/>
      <c r="G4" s="124"/>
      <c r="H4" s="120" t="s">
        <v>14</v>
      </c>
      <c r="I4" s="121"/>
      <c r="J4" s="123"/>
      <c r="K4" s="124"/>
      <c r="L4" s="125"/>
      <c r="M4" s="112"/>
      <c r="N4" s="112"/>
      <c r="O4" s="112"/>
      <c r="P4" s="5" t="s">
        <v>15</v>
      </c>
    </row>
    <row r="5" spans="1:16" ht="18" customHeight="1">
      <c r="A5" s="118" t="s">
        <v>16</v>
      </c>
      <c r="B5" s="116">
        <v>6</v>
      </c>
      <c r="C5" s="111">
        <f>460959/1000</f>
        <v>460.959</v>
      </c>
      <c r="D5" s="114"/>
      <c r="E5" s="115"/>
      <c r="F5" s="115"/>
      <c r="G5" s="117"/>
      <c r="H5" s="114"/>
      <c r="I5" s="115"/>
      <c r="J5" s="115"/>
      <c r="K5" s="117"/>
      <c r="L5" s="109">
        <v>677</v>
      </c>
      <c r="M5" s="110">
        <f>43209/1000</f>
        <v>43.209</v>
      </c>
      <c r="N5" s="109">
        <v>47</v>
      </c>
      <c r="O5" s="110">
        <f>21856/1000</f>
        <v>21.856</v>
      </c>
      <c r="P5" s="110">
        <f>342234/1000</f>
        <v>342.234</v>
      </c>
    </row>
    <row r="6" spans="1:16" ht="18" customHeight="1">
      <c r="A6" s="119"/>
      <c r="B6" s="116"/>
      <c r="C6" s="111"/>
      <c r="D6" s="6">
        <f>$C$5</f>
        <v>460.959</v>
      </c>
      <c r="E6" s="7">
        <f>D6/C5*100</f>
        <v>100</v>
      </c>
      <c r="F6" s="8">
        <f>$C$5</f>
        <v>460.959</v>
      </c>
      <c r="G6" s="9">
        <f>F6/C5*100</f>
        <v>100</v>
      </c>
      <c r="H6" s="6">
        <f>$C$5</f>
        <v>460.959</v>
      </c>
      <c r="I6" s="7">
        <f>H6/C5*100</f>
        <v>100</v>
      </c>
      <c r="J6" s="8">
        <f>$C$5</f>
        <v>460.959</v>
      </c>
      <c r="K6" s="9">
        <f>J6/C5*100</f>
        <v>100</v>
      </c>
      <c r="L6" s="109"/>
      <c r="M6" s="110"/>
      <c r="N6" s="109"/>
      <c r="O6" s="110"/>
      <c r="P6" s="110"/>
    </row>
    <row r="7" spans="1:16" ht="18" customHeight="1">
      <c r="A7" s="112" t="s">
        <v>17</v>
      </c>
      <c r="B7" s="116">
        <v>13</v>
      </c>
      <c r="C7" s="111">
        <f>614859/1000</f>
        <v>614.859</v>
      </c>
      <c r="D7" s="114"/>
      <c r="E7" s="115"/>
      <c r="F7" s="10"/>
      <c r="G7" s="3"/>
      <c r="H7" s="114"/>
      <c r="I7" s="115"/>
      <c r="J7" s="10"/>
      <c r="K7" s="3"/>
      <c r="L7" s="109">
        <v>541</v>
      </c>
      <c r="M7" s="110">
        <f>19809/1000</f>
        <v>19.809</v>
      </c>
      <c r="N7" s="109">
        <v>83</v>
      </c>
      <c r="O7" s="110">
        <f>45943/1000</f>
        <v>45.943</v>
      </c>
      <c r="P7" s="110">
        <f>356679/1000</f>
        <v>356.679</v>
      </c>
    </row>
    <row r="8" spans="1:16" ht="18" customHeight="1">
      <c r="A8" s="112"/>
      <c r="B8" s="116"/>
      <c r="C8" s="111"/>
      <c r="D8" s="6">
        <f>(734+9919+473162)/1000</f>
        <v>483.815</v>
      </c>
      <c r="E8" s="7">
        <f>D8/C7*100</f>
        <v>78.6871461587128</v>
      </c>
      <c r="F8" s="8">
        <f>531365/1000</f>
        <v>531.365</v>
      </c>
      <c r="G8" s="9">
        <f>F8/C7*100</f>
        <v>86.42062651762437</v>
      </c>
      <c r="H8" s="6">
        <f>(28783+413180)/1000</f>
        <v>441.963</v>
      </c>
      <c r="I8" s="7">
        <f>H8/C7*100</f>
        <v>71.88038233155895</v>
      </c>
      <c r="J8" s="8">
        <f>611709/1000</f>
        <v>611.709</v>
      </c>
      <c r="K8" s="9">
        <f>J8/C7*100</f>
        <v>99.48768742101846</v>
      </c>
      <c r="L8" s="109"/>
      <c r="M8" s="110"/>
      <c r="N8" s="109"/>
      <c r="O8" s="110"/>
      <c r="P8" s="110"/>
    </row>
    <row r="9" spans="1:16" ht="18" customHeight="1">
      <c r="A9" s="112" t="s">
        <v>18</v>
      </c>
      <c r="B9" s="113">
        <v>18</v>
      </c>
      <c r="C9" s="111">
        <f>1075818/1000</f>
        <v>1075.818</v>
      </c>
      <c r="D9" s="114"/>
      <c r="E9" s="115"/>
      <c r="F9" s="10"/>
      <c r="G9" s="3"/>
      <c r="H9" s="114"/>
      <c r="I9" s="115"/>
      <c r="J9" s="10"/>
      <c r="K9" s="3"/>
      <c r="L9" s="109">
        <v>1218</v>
      </c>
      <c r="M9" s="110">
        <f>63018/1000</f>
        <v>63.018</v>
      </c>
      <c r="N9" s="109">
        <v>130</v>
      </c>
      <c r="O9" s="110">
        <f>67799/1000</f>
        <v>67.799</v>
      </c>
      <c r="P9" s="110">
        <f>698913/1000</f>
        <v>698.913</v>
      </c>
    </row>
    <row r="10" spans="1:16" ht="18" customHeight="1">
      <c r="A10" s="112"/>
      <c r="B10" s="113"/>
      <c r="C10" s="111"/>
      <c r="D10" s="6">
        <f>(4444+99043+841287)/1000</f>
        <v>944.774</v>
      </c>
      <c r="E10" s="7">
        <f>D10/C9*100</f>
        <v>87.81912925792281</v>
      </c>
      <c r="F10" s="8">
        <f>992324/1000</f>
        <v>992.324</v>
      </c>
      <c r="G10" s="9">
        <f>F10/C9*100</f>
        <v>92.23902184198442</v>
      </c>
      <c r="H10" s="6">
        <f>(48169+854753)/1000</f>
        <v>902.922</v>
      </c>
      <c r="I10" s="7">
        <f>H10/C9*100</f>
        <v>83.92888016374516</v>
      </c>
      <c r="J10" s="8">
        <f>1072668/1000</f>
        <v>1072.668</v>
      </c>
      <c r="K10" s="9">
        <f>J10/C9*100</f>
        <v>99.70719954490443</v>
      </c>
      <c r="L10" s="109"/>
      <c r="M10" s="110"/>
      <c r="N10" s="109"/>
      <c r="O10" s="110"/>
      <c r="P10" s="110"/>
    </row>
    <row r="11" spans="1:16" ht="18" customHeight="1">
      <c r="A11" s="112" t="s">
        <v>19</v>
      </c>
      <c r="B11" s="113">
        <v>54</v>
      </c>
      <c r="C11" s="111">
        <f>1101051/1000</f>
        <v>1101.051</v>
      </c>
      <c r="D11" s="114"/>
      <c r="E11" s="115"/>
      <c r="F11" s="10"/>
      <c r="G11" s="3"/>
      <c r="H11" s="114"/>
      <c r="I11" s="115"/>
      <c r="J11" s="10"/>
      <c r="K11" s="3"/>
      <c r="L11" s="109">
        <v>751</v>
      </c>
      <c r="M11" s="110">
        <f>18925/1000</f>
        <v>18.925</v>
      </c>
      <c r="N11" s="109">
        <v>55</v>
      </c>
      <c r="O11" s="110">
        <f>21035/1000</f>
        <v>21.035</v>
      </c>
      <c r="P11" s="110">
        <f>374897/1000</f>
        <v>374.897</v>
      </c>
    </row>
    <row r="12" spans="1:16" ht="18" customHeight="1">
      <c r="A12" s="112"/>
      <c r="B12" s="113"/>
      <c r="C12" s="111"/>
      <c r="D12" s="6">
        <f>(5764+26396+710637)/1000</f>
        <v>742.797</v>
      </c>
      <c r="E12" s="7">
        <f>D12/C11*100</f>
        <v>67.46254260701821</v>
      </c>
      <c r="F12" s="8">
        <f>878804/1000</f>
        <v>878.804</v>
      </c>
      <c r="G12" s="9">
        <f>F12/C11*100</f>
        <v>79.81501311020108</v>
      </c>
      <c r="H12" s="6">
        <f>(18198+599246)/1000</f>
        <v>617.444</v>
      </c>
      <c r="I12" s="7">
        <f>H12/C11*100</f>
        <v>56.077693040558515</v>
      </c>
      <c r="J12" s="8">
        <f>1073228/1000</f>
        <v>1073.228</v>
      </c>
      <c r="K12" s="9">
        <f>J12/C11*100</f>
        <v>97.47305074878459</v>
      </c>
      <c r="L12" s="109"/>
      <c r="M12" s="110"/>
      <c r="N12" s="109"/>
      <c r="O12" s="110"/>
      <c r="P12" s="110"/>
    </row>
    <row r="13" spans="1:16" ht="18" customHeight="1">
      <c r="A13" s="112" t="s">
        <v>20</v>
      </c>
      <c r="B13" s="113">
        <v>190</v>
      </c>
      <c r="C13" s="111">
        <f>1797592/1000</f>
        <v>1797.592</v>
      </c>
      <c r="D13" s="114"/>
      <c r="E13" s="115"/>
      <c r="F13" s="11"/>
      <c r="G13" s="3"/>
      <c r="H13" s="114"/>
      <c r="I13" s="115"/>
      <c r="J13" s="11"/>
      <c r="K13" s="3"/>
      <c r="L13" s="109">
        <v>1014</v>
      </c>
      <c r="M13" s="110">
        <f>16360/1000</f>
        <v>16.36</v>
      </c>
      <c r="N13" s="109">
        <v>23</v>
      </c>
      <c r="O13" s="110">
        <f>5214/1000</f>
        <v>5.214</v>
      </c>
      <c r="P13" s="110">
        <f>288446/1000</f>
        <v>288.446</v>
      </c>
    </row>
    <row r="14" spans="1:16" ht="18" customHeight="1">
      <c r="A14" s="112"/>
      <c r="B14" s="113"/>
      <c r="C14" s="111"/>
      <c r="D14" s="6">
        <f>(1043+6689+721597)/1000</f>
        <v>729.329</v>
      </c>
      <c r="E14" s="7">
        <f>D14/C13*100</f>
        <v>40.572554840030435</v>
      </c>
      <c r="F14" s="8">
        <f>1071011/1000</f>
        <v>1071.011</v>
      </c>
      <c r="G14" s="9">
        <f>F14/C13*100</f>
        <v>59.5803163342961</v>
      </c>
      <c r="H14" s="6">
        <f>(18745+550340)/1000</f>
        <v>569.085</v>
      </c>
      <c r="I14" s="7">
        <f>H14/C13*100</f>
        <v>31.658184949643747</v>
      </c>
      <c r="J14" s="8">
        <f>1660657/1000</f>
        <v>1660.657</v>
      </c>
      <c r="K14" s="9">
        <f>J14/C13*100</f>
        <v>92.38230922255994</v>
      </c>
      <c r="L14" s="109"/>
      <c r="M14" s="110"/>
      <c r="N14" s="109"/>
      <c r="O14" s="110"/>
      <c r="P14" s="110"/>
    </row>
    <row r="15" spans="1:16" ht="18" customHeight="1">
      <c r="A15" s="112" t="s">
        <v>21</v>
      </c>
      <c r="B15" s="113">
        <v>244</v>
      </c>
      <c r="C15" s="111">
        <f>2898643/1000</f>
        <v>2898.643</v>
      </c>
      <c r="D15" s="114"/>
      <c r="E15" s="115"/>
      <c r="F15" s="10"/>
      <c r="G15" s="3"/>
      <c r="H15" s="114"/>
      <c r="I15" s="115"/>
      <c r="J15" s="10"/>
      <c r="K15" s="3"/>
      <c r="L15" s="109">
        <v>1765</v>
      </c>
      <c r="M15" s="110">
        <f>35285/1000</f>
        <v>35.285</v>
      </c>
      <c r="N15" s="109">
        <v>78</v>
      </c>
      <c r="O15" s="110">
        <f>26249/1000</f>
        <v>26.249</v>
      </c>
      <c r="P15" s="110">
        <f>663343/1000</f>
        <v>663.343</v>
      </c>
    </row>
    <row r="16" spans="1:16" ht="18" customHeight="1">
      <c r="A16" s="112"/>
      <c r="B16" s="113"/>
      <c r="C16" s="111"/>
      <c r="D16" s="6">
        <f>(6807+33085+1432234)/1000</f>
        <v>1472.126</v>
      </c>
      <c r="E16" s="7">
        <f>D16/C15*100</f>
        <v>50.78673020444394</v>
      </c>
      <c r="F16" s="8">
        <f>1949815/1000</f>
        <v>1949.815</v>
      </c>
      <c r="G16" s="9">
        <f>F16/C15*100</f>
        <v>67.26647607173426</v>
      </c>
      <c r="H16" s="6">
        <f>(36943+1149586)/1000</f>
        <v>1186.529</v>
      </c>
      <c r="I16" s="7">
        <f>H16/C15*100</f>
        <v>40.93394736778554</v>
      </c>
      <c r="J16" s="8">
        <f>2733885/1000</f>
        <v>2733.885</v>
      </c>
      <c r="K16" s="9">
        <f>J16/C15*100</f>
        <v>94.31602994918657</v>
      </c>
      <c r="L16" s="109"/>
      <c r="M16" s="110"/>
      <c r="N16" s="109"/>
      <c r="O16" s="110"/>
      <c r="P16" s="110"/>
    </row>
    <row r="17" spans="1:16" s="14" customFormat="1" ht="18" customHeight="1">
      <c r="A17" s="76" t="s">
        <v>22</v>
      </c>
      <c r="B17" s="101">
        <v>262</v>
      </c>
      <c r="C17" s="98">
        <f>3974461/1000</f>
        <v>3974.461</v>
      </c>
      <c r="D17" s="81"/>
      <c r="E17" s="82"/>
      <c r="F17" s="12"/>
      <c r="G17" s="13"/>
      <c r="H17" s="81"/>
      <c r="I17" s="82"/>
      <c r="J17" s="12"/>
      <c r="K17" s="13"/>
      <c r="L17" s="109">
        <v>2983</v>
      </c>
      <c r="M17" s="100">
        <f>98303/1000</f>
        <v>98.303</v>
      </c>
      <c r="N17" s="109">
        <v>208</v>
      </c>
      <c r="O17" s="100">
        <f>94048/1000</f>
        <v>94.048</v>
      </c>
      <c r="P17" s="100">
        <f>1362256/1000</f>
        <v>1362.256</v>
      </c>
    </row>
    <row r="18" spans="1:16" s="14" customFormat="1" ht="18" customHeight="1">
      <c r="A18" s="76"/>
      <c r="B18" s="101"/>
      <c r="C18" s="98"/>
      <c r="D18" s="15">
        <f>(11251+132128+2273521)/1000</f>
        <v>2416.9</v>
      </c>
      <c r="E18" s="16">
        <f>D18/C17*100</f>
        <v>60.810761509548094</v>
      </c>
      <c r="F18" s="17">
        <f>2942139/1000</f>
        <v>2942.139</v>
      </c>
      <c r="G18" s="18">
        <f>F18/C17*100</f>
        <v>74.02611322642241</v>
      </c>
      <c r="H18" s="15">
        <f>(85112+2004339)/1000</f>
        <v>2089.451</v>
      </c>
      <c r="I18" s="16">
        <f>H18/C17*100</f>
        <v>52.57193365339351</v>
      </c>
      <c r="J18" s="17">
        <f>3806553/1000</f>
        <v>3806.553</v>
      </c>
      <c r="K18" s="18">
        <f>J18/C17*100</f>
        <v>95.77532651597286</v>
      </c>
      <c r="L18" s="109"/>
      <c r="M18" s="100"/>
      <c r="N18" s="109"/>
      <c r="O18" s="100"/>
      <c r="P18" s="100"/>
    </row>
    <row r="19" spans="1:16" s="14" customFormat="1" ht="18" customHeight="1">
      <c r="A19" s="76" t="s">
        <v>23</v>
      </c>
      <c r="B19" s="101">
        <v>257</v>
      </c>
      <c r="C19" s="98">
        <f>3513502/1000</f>
        <v>3513.502</v>
      </c>
      <c r="D19" s="81"/>
      <c r="E19" s="82"/>
      <c r="F19" s="12"/>
      <c r="G19" s="13"/>
      <c r="H19" s="81"/>
      <c r="I19" s="82"/>
      <c r="J19" s="12"/>
      <c r="K19" s="13"/>
      <c r="L19" s="109">
        <v>2306</v>
      </c>
      <c r="M19" s="100">
        <f>55094/1000</f>
        <v>55.094</v>
      </c>
      <c r="N19" s="109">
        <v>161</v>
      </c>
      <c r="O19" s="100">
        <f>72192/1000</f>
        <v>72.192</v>
      </c>
      <c r="P19" s="100">
        <f>1020022/1000</f>
        <v>1020.022</v>
      </c>
    </row>
    <row r="20" spans="1:16" s="14" customFormat="1" ht="18" customHeight="1">
      <c r="A20" s="76"/>
      <c r="B20" s="101"/>
      <c r="C20" s="98"/>
      <c r="D20" s="15">
        <f>(7541+43004+1905396)/1000</f>
        <v>1955.941</v>
      </c>
      <c r="E20" s="16">
        <f>D20/C19*100</f>
        <v>55.66927242392349</v>
      </c>
      <c r="F20" s="17">
        <f>2481180/1000</f>
        <v>2481.18</v>
      </c>
      <c r="G20" s="18">
        <f>F20/C19*100</f>
        <v>70.61843141116755</v>
      </c>
      <c r="H20" s="15">
        <f>(65726+1562766)/1000</f>
        <v>1628.492</v>
      </c>
      <c r="I20" s="16">
        <f>H20/C19*100</f>
        <v>46.34953957618354</v>
      </c>
      <c r="J20" s="17">
        <f>3345594/1000</f>
        <v>3345.594</v>
      </c>
      <c r="K20" s="18">
        <f>J20/C19*100</f>
        <v>95.22106433979546</v>
      </c>
      <c r="L20" s="109"/>
      <c r="M20" s="100"/>
      <c r="N20" s="109"/>
      <c r="O20" s="100"/>
      <c r="P20" s="100"/>
    </row>
    <row r="21" spans="1:16" s="14" customFormat="1" ht="18" customHeight="1">
      <c r="A21" s="76" t="s">
        <v>24</v>
      </c>
      <c r="B21" s="101">
        <v>1066</v>
      </c>
      <c r="C21" s="98">
        <f>1572656/1000</f>
        <v>1572.656</v>
      </c>
      <c r="D21" s="81"/>
      <c r="E21" s="82"/>
      <c r="F21" s="12"/>
      <c r="G21" s="13"/>
      <c r="H21" s="81"/>
      <c r="I21" s="82"/>
      <c r="J21" s="12"/>
      <c r="K21" s="13"/>
      <c r="L21" s="109">
        <v>1139</v>
      </c>
      <c r="M21" s="100">
        <f>19215/1000</f>
        <v>19.215</v>
      </c>
      <c r="N21" s="109">
        <v>21</v>
      </c>
      <c r="O21" s="100">
        <f>4841/1000</f>
        <v>4.841</v>
      </c>
      <c r="P21" s="100">
        <f>280623/1000</f>
        <v>280.623</v>
      </c>
    </row>
    <row r="22" spans="1:16" s="14" customFormat="1" ht="18" customHeight="1">
      <c r="A22" s="76"/>
      <c r="B22" s="101"/>
      <c r="C22" s="98"/>
      <c r="D22" s="15">
        <f>(5579+23422+529383)/1000</f>
        <v>558.384</v>
      </c>
      <c r="E22" s="16">
        <f>D22/C21*100</f>
        <v>35.50579401979835</v>
      </c>
      <c r="F22" s="17">
        <f>1232834/1000</f>
        <v>1232.834</v>
      </c>
      <c r="G22" s="18">
        <f>F22/C21*100</f>
        <v>78.39184157247358</v>
      </c>
      <c r="H22" s="15">
        <f>(46562+254321)/1000</f>
        <v>300.883</v>
      </c>
      <c r="I22" s="16">
        <f>H22/C21*100</f>
        <v>19.132156046840503</v>
      </c>
      <c r="J22" s="17">
        <f>1510519/1000</f>
        <v>1510.519</v>
      </c>
      <c r="K22" s="18">
        <f>J22/C21*100</f>
        <v>96.04891343052773</v>
      </c>
      <c r="L22" s="109"/>
      <c r="M22" s="100"/>
      <c r="N22" s="109"/>
      <c r="O22" s="100"/>
      <c r="P22" s="100"/>
    </row>
    <row r="23" spans="1:16" s="14" customFormat="1" ht="18" customHeight="1">
      <c r="A23" s="76" t="s">
        <v>25</v>
      </c>
      <c r="B23" s="101">
        <v>1394</v>
      </c>
      <c r="C23" s="98">
        <f>1640166/1000</f>
        <v>1640.166</v>
      </c>
      <c r="D23" s="107"/>
      <c r="E23" s="108"/>
      <c r="F23" s="12"/>
      <c r="G23" s="13"/>
      <c r="H23" s="107"/>
      <c r="I23" s="108"/>
      <c r="J23" s="12"/>
      <c r="K23" s="13"/>
      <c r="L23" s="109">
        <v>1216</v>
      </c>
      <c r="M23" s="100">
        <f>12220/1000</f>
        <v>12.22</v>
      </c>
      <c r="N23" s="109">
        <v>4</v>
      </c>
      <c r="O23" s="100">
        <f>640/1000</f>
        <v>0.64</v>
      </c>
      <c r="P23" s="100">
        <f>67141/1000</f>
        <v>67.141</v>
      </c>
    </row>
    <row r="24" spans="1:16" s="14" customFormat="1" ht="18" customHeight="1">
      <c r="A24" s="76"/>
      <c r="B24" s="101"/>
      <c r="C24" s="98"/>
      <c r="D24" s="15">
        <f>(234+2228+221270)/1000</f>
        <v>223.732</v>
      </c>
      <c r="E24" s="16">
        <f>D24/C23*100</f>
        <v>13.640814405371163</v>
      </c>
      <c r="F24" s="17">
        <f>1040308/1000</f>
        <v>1040.308</v>
      </c>
      <c r="G24" s="18">
        <f>F24/C23*100</f>
        <v>63.42699458469448</v>
      </c>
      <c r="H24" s="15">
        <f>(92445+51212)/1000</f>
        <v>143.657</v>
      </c>
      <c r="I24" s="16">
        <f>H24/C23*100</f>
        <v>8.758686620744486</v>
      </c>
      <c r="J24" s="17">
        <f>1530770/1000</f>
        <v>1530.77</v>
      </c>
      <c r="K24" s="18">
        <f>J24/C23*100</f>
        <v>93.33018731030883</v>
      </c>
      <c r="L24" s="109"/>
      <c r="M24" s="100"/>
      <c r="N24" s="109"/>
      <c r="O24" s="100"/>
      <c r="P24" s="100"/>
    </row>
    <row r="25" spans="1:16" s="14" customFormat="1" ht="18" customHeight="1">
      <c r="A25" s="76" t="s">
        <v>26</v>
      </c>
      <c r="B25" s="101">
        <v>2460</v>
      </c>
      <c r="C25" s="98">
        <f>3212822/1000</f>
        <v>3212.822</v>
      </c>
      <c r="D25" s="81"/>
      <c r="E25" s="82"/>
      <c r="F25" s="12"/>
      <c r="G25" s="13"/>
      <c r="H25" s="81"/>
      <c r="I25" s="82"/>
      <c r="J25" s="12"/>
      <c r="K25" s="13"/>
      <c r="L25" s="109">
        <v>2355</v>
      </c>
      <c r="M25" s="100">
        <f>31435/1000</f>
        <v>31.435</v>
      </c>
      <c r="N25" s="109">
        <v>25</v>
      </c>
      <c r="O25" s="100">
        <f>5481/1000</f>
        <v>5.481</v>
      </c>
      <c r="P25" s="100">
        <f>347764/1000</f>
        <v>347.764</v>
      </c>
    </row>
    <row r="26" spans="1:16" s="14" customFormat="1" ht="18" customHeight="1">
      <c r="A26" s="76"/>
      <c r="B26" s="101"/>
      <c r="C26" s="98"/>
      <c r="D26" s="15">
        <f>(5813+25650+750653)/1000</f>
        <v>782.116</v>
      </c>
      <c r="E26" s="16">
        <f>D26/C25*100</f>
        <v>24.343583304646195</v>
      </c>
      <c r="F26" s="17">
        <f>2273142/1000</f>
        <v>2273.142</v>
      </c>
      <c r="G26" s="18">
        <f>F26/C25*100</f>
        <v>70.7521923094401</v>
      </c>
      <c r="H26" s="15">
        <f>(139007+305533)/1000</f>
        <v>444.54</v>
      </c>
      <c r="I26" s="16">
        <f>H26/C25*100</f>
        <v>13.83643413796345</v>
      </c>
      <c r="J26" s="17">
        <f>3041289/1000</f>
        <v>3041.289</v>
      </c>
      <c r="K26" s="18">
        <f>J26/C25*100</f>
        <v>94.66098650967903</v>
      </c>
      <c r="L26" s="109"/>
      <c r="M26" s="100"/>
      <c r="N26" s="109"/>
      <c r="O26" s="100"/>
      <c r="P26" s="100"/>
    </row>
    <row r="27" spans="1:16" s="14" customFormat="1" ht="18" customHeight="1">
      <c r="A27" s="76" t="s">
        <v>30</v>
      </c>
      <c r="B27" s="101">
        <v>25959</v>
      </c>
      <c r="C27" s="98">
        <f>10795060/1000</f>
        <v>10795.06</v>
      </c>
      <c r="D27" s="81"/>
      <c r="E27" s="82"/>
      <c r="F27" s="12"/>
      <c r="G27" s="13"/>
      <c r="H27" s="81"/>
      <c r="I27" s="82"/>
      <c r="J27" s="12"/>
      <c r="K27" s="13"/>
      <c r="L27" s="109">
        <v>6754</v>
      </c>
      <c r="M27" s="100">
        <f>59409/1000</f>
        <v>59.409</v>
      </c>
      <c r="N27" s="109">
        <v>34</v>
      </c>
      <c r="O27" s="100">
        <f>6665/1000</f>
        <v>6.665</v>
      </c>
      <c r="P27" s="100">
        <f>187489/1000</f>
        <v>187.489</v>
      </c>
    </row>
    <row r="28" spans="1:16" s="14" customFormat="1" ht="18" customHeight="1">
      <c r="A28" s="76"/>
      <c r="B28" s="101"/>
      <c r="C28" s="98"/>
      <c r="D28" s="15">
        <f>(2368+10920+700137)/1000</f>
        <v>713.425</v>
      </c>
      <c r="E28" s="16">
        <f>D28/C27*100</f>
        <v>6.608809955664905</v>
      </c>
      <c r="F28" s="17">
        <f>4662777/1000</f>
        <v>4662.777</v>
      </c>
      <c r="G28" s="18">
        <f>F28/C27*100</f>
        <v>43.19361819202487</v>
      </c>
      <c r="H28" s="15">
        <f>(1125832+207790)/1000</f>
        <v>1333.622</v>
      </c>
      <c r="I28" s="16">
        <f>H28/C27*100</f>
        <v>12.35400266418158</v>
      </c>
      <c r="J28" s="17">
        <f>8778147/1000</f>
        <v>8778.147</v>
      </c>
      <c r="K28" s="18">
        <f>J28/C27*100</f>
        <v>81.31633358221262</v>
      </c>
      <c r="L28" s="109"/>
      <c r="M28" s="100"/>
      <c r="N28" s="109"/>
      <c r="O28" s="100"/>
      <c r="P28" s="100"/>
    </row>
    <row r="29" spans="1:16" s="14" customFormat="1" ht="18" customHeight="1">
      <c r="A29" s="76" t="s">
        <v>27</v>
      </c>
      <c r="B29" s="101">
        <v>28419</v>
      </c>
      <c r="C29" s="98">
        <f>14007882/1000</f>
        <v>14007.882</v>
      </c>
      <c r="D29" s="81"/>
      <c r="E29" s="82"/>
      <c r="F29" s="19"/>
      <c r="G29" s="13"/>
      <c r="H29" s="81"/>
      <c r="I29" s="82"/>
      <c r="J29" s="19"/>
      <c r="K29" s="13"/>
      <c r="L29" s="109">
        <v>9109</v>
      </c>
      <c r="M29" s="100">
        <f>90844/1000</f>
        <v>90.844</v>
      </c>
      <c r="N29" s="109">
        <v>59</v>
      </c>
      <c r="O29" s="100">
        <f>12146/1000</f>
        <v>12.146</v>
      </c>
      <c r="P29" s="100">
        <f>535253/1000</f>
        <v>535.253</v>
      </c>
    </row>
    <row r="30" spans="1:16" s="14" customFormat="1" ht="18" customHeight="1">
      <c r="A30" s="76"/>
      <c r="B30" s="101"/>
      <c r="C30" s="98"/>
      <c r="D30" s="15">
        <f>(8181+36570+1450790)/1000</f>
        <v>1495.541</v>
      </c>
      <c r="E30" s="16">
        <f>D30/C29*100</f>
        <v>10.676424887074292</v>
      </c>
      <c r="F30" s="17">
        <f>6935919/1000</f>
        <v>6935.919</v>
      </c>
      <c r="G30" s="18">
        <f>F30/C29*100</f>
        <v>49.51440196312333</v>
      </c>
      <c r="H30" s="15">
        <f>(1264839+513323)/1000</f>
        <v>1778.162</v>
      </c>
      <c r="I30" s="16">
        <f>H30/C29*100</f>
        <v>12.694010414993503</v>
      </c>
      <c r="J30" s="17">
        <f>11819436/1000</f>
        <v>11819.436</v>
      </c>
      <c r="K30" s="18">
        <f>J30/C29*100</f>
        <v>84.37703858441982</v>
      </c>
      <c r="L30" s="109"/>
      <c r="M30" s="100"/>
      <c r="N30" s="109"/>
      <c r="O30" s="100"/>
      <c r="P30" s="100"/>
    </row>
    <row r="31" spans="1:16" s="14" customFormat="1" ht="18" customHeight="1">
      <c r="A31" s="76" t="s">
        <v>28</v>
      </c>
      <c r="B31" s="101">
        <f>SUM(B17,B29)</f>
        <v>28681</v>
      </c>
      <c r="C31" s="98">
        <f>17982343/1000</f>
        <v>17982.343</v>
      </c>
      <c r="D31" s="81"/>
      <c r="E31" s="82"/>
      <c r="F31" s="19"/>
      <c r="G31" s="13"/>
      <c r="H31" s="81"/>
      <c r="I31" s="82"/>
      <c r="J31" s="19"/>
      <c r="K31" s="13"/>
      <c r="L31" s="109">
        <f>SUM(L29,L17)</f>
        <v>12092</v>
      </c>
      <c r="M31" s="100">
        <f>189147/1000</f>
        <v>189.147</v>
      </c>
      <c r="N31" s="109">
        <f>SUM(N29,N17)</f>
        <v>267</v>
      </c>
      <c r="O31" s="100">
        <f>106194/1000</f>
        <v>106.194</v>
      </c>
      <c r="P31" s="100">
        <f>1897509/1000</f>
        <v>1897.509</v>
      </c>
    </row>
    <row r="32" spans="1:16" s="14" customFormat="1" ht="18" customHeight="1">
      <c r="A32" s="76"/>
      <c r="B32" s="101"/>
      <c r="C32" s="98"/>
      <c r="D32" s="15">
        <f>(19432+168698+3724311)/1000</f>
        <v>3912.441</v>
      </c>
      <c r="E32" s="16">
        <f>D32/C31*100</f>
        <v>21.757125865077757</v>
      </c>
      <c r="F32" s="17">
        <f>9878058/1000</f>
        <v>9878.058</v>
      </c>
      <c r="G32" s="18">
        <f>F32/C31*100</f>
        <v>54.931985225729484</v>
      </c>
      <c r="H32" s="15">
        <f>(1349951+2517662)/1000</f>
        <v>3867.613</v>
      </c>
      <c r="I32" s="16">
        <f>H32/C31*100</f>
        <v>21.50783688199029</v>
      </c>
      <c r="J32" s="17">
        <f>15625989/1000</f>
        <v>15625.989</v>
      </c>
      <c r="K32" s="18">
        <f>J32/C31*100</f>
        <v>86.89629043334341</v>
      </c>
      <c r="L32" s="109"/>
      <c r="M32" s="100"/>
      <c r="N32" s="109"/>
      <c r="O32" s="100"/>
      <c r="P32" s="100"/>
    </row>
    <row r="33" spans="1:16" ht="14.25" customHeight="1">
      <c r="A33" s="20" t="s">
        <v>31</v>
      </c>
      <c r="B33" s="21"/>
      <c r="C33" s="22"/>
      <c r="D33" s="23"/>
      <c r="E33" s="24"/>
      <c r="F33" s="23"/>
      <c r="G33" s="24"/>
      <c r="H33" s="23"/>
      <c r="I33" s="24"/>
      <c r="J33" s="23"/>
      <c r="K33" s="24"/>
      <c r="L33" s="25"/>
      <c r="M33" s="26"/>
      <c r="N33" s="25"/>
      <c r="O33" s="26"/>
      <c r="P33" s="26"/>
    </row>
    <row r="34" ht="13.5">
      <c r="A34" s="20" t="s">
        <v>32</v>
      </c>
    </row>
    <row r="35" ht="13.5">
      <c r="A35" s="20" t="s">
        <v>33</v>
      </c>
    </row>
    <row r="36" ht="13.5">
      <c r="A36" s="20" t="s">
        <v>37</v>
      </c>
    </row>
    <row r="37" ht="13.5">
      <c r="A37" s="20" t="s">
        <v>38</v>
      </c>
    </row>
    <row r="38" ht="13.5">
      <c r="A38" s="20" t="s">
        <v>41</v>
      </c>
    </row>
  </sheetData>
  <sheetProtection/>
  <mergeCells count="158">
    <mergeCell ref="O31:O32"/>
    <mergeCell ref="P31:P32"/>
    <mergeCell ref="N29:N30"/>
    <mergeCell ref="P29:P30"/>
    <mergeCell ref="O29:O30"/>
    <mergeCell ref="N31:N32"/>
    <mergeCell ref="A31:A32"/>
    <mergeCell ref="B31:B32"/>
    <mergeCell ref="C31:C32"/>
    <mergeCell ref="D31:E31"/>
    <mergeCell ref="M31:M32"/>
    <mergeCell ref="H31:I31"/>
    <mergeCell ref="L31:L32"/>
    <mergeCell ref="P27:P28"/>
    <mergeCell ref="N27:N28"/>
    <mergeCell ref="A29:A30"/>
    <mergeCell ref="B29:B30"/>
    <mergeCell ref="C29:C30"/>
    <mergeCell ref="D29:E29"/>
    <mergeCell ref="H27:I27"/>
    <mergeCell ref="L27:L28"/>
    <mergeCell ref="M29:M30"/>
    <mergeCell ref="A27:A28"/>
    <mergeCell ref="B27:B28"/>
    <mergeCell ref="C27:C28"/>
    <mergeCell ref="D27:E27"/>
    <mergeCell ref="M27:M28"/>
    <mergeCell ref="H29:I29"/>
    <mergeCell ref="L29:L30"/>
    <mergeCell ref="O27:O28"/>
    <mergeCell ref="O23:O24"/>
    <mergeCell ref="N25:N26"/>
    <mergeCell ref="P23:P24"/>
    <mergeCell ref="A25:A26"/>
    <mergeCell ref="B25:B26"/>
    <mergeCell ref="C25:C26"/>
    <mergeCell ref="D25:E25"/>
    <mergeCell ref="H25:I25"/>
    <mergeCell ref="L25:L26"/>
    <mergeCell ref="M25:M26"/>
    <mergeCell ref="P25:P26"/>
    <mergeCell ref="O25:O26"/>
    <mergeCell ref="O21:O22"/>
    <mergeCell ref="P21:P22"/>
    <mergeCell ref="A23:A24"/>
    <mergeCell ref="B23:B24"/>
    <mergeCell ref="C23:C24"/>
    <mergeCell ref="D23:E23"/>
    <mergeCell ref="H23:I23"/>
    <mergeCell ref="L23:L24"/>
    <mergeCell ref="M23:M24"/>
    <mergeCell ref="N23:N24"/>
    <mergeCell ref="O19:O20"/>
    <mergeCell ref="P19:P20"/>
    <mergeCell ref="A21:A22"/>
    <mergeCell ref="B21:B22"/>
    <mergeCell ref="C21:C22"/>
    <mergeCell ref="D21:E21"/>
    <mergeCell ref="H21:I21"/>
    <mergeCell ref="L21:L22"/>
    <mergeCell ref="M21:M22"/>
    <mergeCell ref="N21:N22"/>
    <mergeCell ref="O17:O18"/>
    <mergeCell ref="P17:P18"/>
    <mergeCell ref="A19:A20"/>
    <mergeCell ref="B19:B20"/>
    <mergeCell ref="C19:C20"/>
    <mergeCell ref="D19:E19"/>
    <mergeCell ref="H19:I19"/>
    <mergeCell ref="L19:L20"/>
    <mergeCell ref="M19:M20"/>
    <mergeCell ref="N19:N20"/>
    <mergeCell ref="O15:O16"/>
    <mergeCell ref="P15:P16"/>
    <mergeCell ref="A17:A18"/>
    <mergeCell ref="B17:B18"/>
    <mergeCell ref="C17:C18"/>
    <mergeCell ref="D17:E17"/>
    <mergeCell ref="H17:I17"/>
    <mergeCell ref="L17:L18"/>
    <mergeCell ref="M17:M18"/>
    <mergeCell ref="N17:N18"/>
    <mergeCell ref="O13:O14"/>
    <mergeCell ref="P13:P14"/>
    <mergeCell ref="A15:A16"/>
    <mergeCell ref="B15:B16"/>
    <mergeCell ref="C15:C16"/>
    <mergeCell ref="D15:E15"/>
    <mergeCell ref="H15:I15"/>
    <mergeCell ref="L15:L16"/>
    <mergeCell ref="M15:M16"/>
    <mergeCell ref="N15:N16"/>
    <mergeCell ref="O11:O12"/>
    <mergeCell ref="P11:P12"/>
    <mergeCell ref="A13:A14"/>
    <mergeCell ref="B13:B14"/>
    <mergeCell ref="C13:C14"/>
    <mergeCell ref="D13:E13"/>
    <mergeCell ref="H13:I13"/>
    <mergeCell ref="A7:A8"/>
    <mergeCell ref="L13:L14"/>
    <mergeCell ref="M13:M14"/>
    <mergeCell ref="N13:N14"/>
    <mergeCell ref="O9:O10"/>
    <mergeCell ref="P9:P10"/>
    <mergeCell ref="A11:A12"/>
    <mergeCell ref="B11:B12"/>
    <mergeCell ref="C11:C12"/>
    <mergeCell ref="D11:E11"/>
    <mergeCell ref="M11:M12"/>
    <mergeCell ref="N11:N12"/>
    <mergeCell ref="L7:L8"/>
    <mergeCell ref="M7:M8"/>
    <mergeCell ref="N7:N8"/>
    <mergeCell ref="A9:A10"/>
    <mergeCell ref="B9:B10"/>
    <mergeCell ref="C9:C10"/>
    <mergeCell ref="D9:E9"/>
    <mergeCell ref="H9:I9"/>
    <mergeCell ref="B7:B8"/>
    <mergeCell ref="C7:C8"/>
    <mergeCell ref="D7:E7"/>
    <mergeCell ref="H7:I7"/>
    <mergeCell ref="C5:C6"/>
    <mergeCell ref="L11:L12"/>
    <mergeCell ref="L5:L6"/>
    <mergeCell ref="L9:L10"/>
    <mergeCell ref="H5:K5"/>
    <mergeCell ref="H11:I11"/>
    <mergeCell ref="H2:K2"/>
    <mergeCell ref="M9:M10"/>
    <mergeCell ref="N9:N10"/>
    <mergeCell ref="O5:O6"/>
    <mergeCell ref="P5:P6"/>
    <mergeCell ref="H4:I4"/>
    <mergeCell ref="O7:O8"/>
    <mergeCell ref="P7:P8"/>
    <mergeCell ref="M5:M6"/>
    <mergeCell ref="N5:N6"/>
    <mergeCell ref="A1:P1"/>
    <mergeCell ref="L2:M2"/>
    <mergeCell ref="N2:O2"/>
    <mergeCell ref="L3:L4"/>
    <mergeCell ref="M3:M4"/>
    <mergeCell ref="N3:N4"/>
    <mergeCell ref="O3:O4"/>
    <mergeCell ref="D3:E3"/>
    <mergeCell ref="H3:I3"/>
    <mergeCell ref="J3:K4"/>
    <mergeCell ref="A5:A6"/>
    <mergeCell ref="B5:B6"/>
    <mergeCell ref="A2:A4"/>
    <mergeCell ref="B2:B4"/>
    <mergeCell ref="C2:C4"/>
    <mergeCell ref="D2:G2"/>
    <mergeCell ref="D4:E4"/>
    <mergeCell ref="F3:G4"/>
    <mergeCell ref="D5:G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I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P2" sqref="P2:P4"/>
    </sheetView>
  </sheetViews>
  <sheetFormatPr defaultColWidth="8.875" defaultRowHeight="13.5"/>
  <cols>
    <col min="1" max="1" width="14.25390625" style="1" customWidth="1"/>
    <col min="2" max="2" width="8.875" style="1" customWidth="1"/>
    <col min="3" max="3" width="9.875" style="1" customWidth="1"/>
    <col min="4" max="4" width="14.75390625" style="1" customWidth="1"/>
    <col min="5" max="5" width="13.125" style="1" customWidth="1"/>
    <col min="6" max="6" width="10.75390625" style="1" customWidth="1"/>
    <col min="7" max="7" width="7.75390625" style="1" customWidth="1"/>
    <col min="8" max="8" width="14.75390625" style="1" customWidth="1"/>
    <col min="9" max="9" width="13.125" style="1" customWidth="1"/>
    <col min="10" max="10" width="10.75390625" style="1" customWidth="1"/>
    <col min="11" max="11" width="7.75390625" style="1" customWidth="1"/>
    <col min="12" max="14" width="8.875" style="1" customWidth="1"/>
    <col min="15" max="15" width="9.00390625" style="1" bestFit="1" customWidth="1"/>
    <col min="16" max="16" width="10.00390625" style="1" bestFit="1" customWidth="1"/>
    <col min="17" max="16384" width="8.875" style="1" customWidth="1"/>
  </cols>
  <sheetData>
    <row r="1" spans="1:16" ht="36" customHeight="1">
      <c r="A1" s="126" t="s">
        <v>39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25.5" customHeight="1">
      <c r="A2" s="112" t="s">
        <v>0</v>
      </c>
      <c r="B2" s="112" t="s">
        <v>1</v>
      </c>
      <c r="C2" s="112" t="s">
        <v>2</v>
      </c>
      <c r="D2" s="127" t="s">
        <v>3</v>
      </c>
      <c r="E2" s="127"/>
      <c r="F2" s="127"/>
      <c r="G2" s="127"/>
      <c r="H2" s="127" t="s">
        <v>4</v>
      </c>
      <c r="I2" s="127"/>
      <c r="J2" s="127"/>
      <c r="K2" s="127"/>
      <c r="L2" s="112" t="s">
        <v>5</v>
      </c>
      <c r="M2" s="112"/>
      <c r="N2" s="112" t="s">
        <v>6</v>
      </c>
      <c r="O2" s="112"/>
      <c r="P2" s="2" t="s">
        <v>7</v>
      </c>
    </row>
    <row r="3" spans="1:16" ht="13.5">
      <c r="A3" s="112"/>
      <c r="B3" s="112"/>
      <c r="C3" s="112"/>
      <c r="D3" s="114"/>
      <c r="E3" s="115"/>
      <c r="F3" s="115" t="s">
        <v>8</v>
      </c>
      <c r="G3" s="117"/>
      <c r="H3" s="120"/>
      <c r="I3" s="122"/>
      <c r="J3" s="115" t="s">
        <v>9</v>
      </c>
      <c r="K3" s="117"/>
      <c r="L3" s="125" t="s">
        <v>10</v>
      </c>
      <c r="M3" s="112" t="s">
        <v>11</v>
      </c>
      <c r="N3" s="112" t="s">
        <v>10</v>
      </c>
      <c r="O3" s="112" t="s">
        <v>11</v>
      </c>
      <c r="P3" s="4" t="s">
        <v>12</v>
      </c>
    </row>
    <row r="4" spans="1:16" ht="13.5">
      <c r="A4" s="112"/>
      <c r="B4" s="112"/>
      <c r="C4" s="112"/>
      <c r="D4" s="120" t="s">
        <v>13</v>
      </c>
      <c r="E4" s="121"/>
      <c r="F4" s="123"/>
      <c r="G4" s="124"/>
      <c r="H4" s="120" t="s">
        <v>14</v>
      </c>
      <c r="I4" s="121"/>
      <c r="J4" s="123"/>
      <c r="K4" s="124"/>
      <c r="L4" s="125"/>
      <c r="M4" s="112"/>
      <c r="N4" s="112"/>
      <c r="O4" s="112"/>
      <c r="P4" s="5" t="s">
        <v>15</v>
      </c>
    </row>
    <row r="5" spans="1:16" ht="18" customHeight="1">
      <c r="A5" s="118" t="s">
        <v>16</v>
      </c>
      <c r="B5" s="116">
        <v>6</v>
      </c>
      <c r="C5" s="111">
        <f>460974/1000</f>
        <v>460.974</v>
      </c>
      <c r="D5" s="114"/>
      <c r="E5" s="115"/>
      <c r="F5" s="115"/>
      <c r="G5" s="117"/>
      <c r="H5" s="114"/>
      <c r="I5" s="115"/>
      <c r="J5" s="115"/>
      <c r="K5" s="117"/>
      <c r="L5" s="128">
        <v>674</v>
      </c>
      <c r="M5" s="110">
        <f>43209/1000</f>
        <v>43.209</v>
      </c>
      <c r="N5" s="128">
        <v>47</v>
      </c>
      <c r="O5" s="110">
        <f>21856/1000</f>
        <v>21.856</v>
      </c>
      <c r="P5" s="110">
        <f>338794/1000</f>
        <v>338.794</v>
      </c>
    </row>
    <row r="6" spans="1:16" ht="18" customHeight="1">
      <c r="A6" s="119"/>
      <c r="B6" s="116"/>
      <c r="C6" s="111"/>
      <c r="D6" s="6">
        <f>$C$5</f>
        <v>460.974</v>
      </c>
      <c r="E6" s="7">
        <f>D6/C5*100</f>
        <v>100</v>
      </c>
      <c r="F6" s="8">
        <f>$C$5</f>
        <v>460.974</v>
      </c>
      <c r="G6" s="9">
        <f>F6/C5*100</f>
        <v>100</v>
      </c>
      <c r="H6" s="6">
        <f>$C$5</f>
        <v>460.974</v>
      </c>
      <c r="I6" s="7">
        <f>H6/C5*100</f>
        <v>100</v>
      </c>
      <c r="J6" s="8">
        <f>$C$5</f>
        <v>460.974</v>
      </c>
      <c r="K6" s="9">
        <f>J6/C5*100</f>
        <v>100</v>
      </c>
      <c r="L6" s="128"/>
      <c r="M6" s="110"/>
      <c r="N6" s="128"/>
      <c r="O6" s="110"/>
      <c r="P6" s="110"/>
    </row>
    <row r="7" spans="1:16" ht="18" customHeight="1">
      <c r="A7" s="112" t="s">
        <v>17</v>
      </c>
      <c r="B7" s="116">
        <v>13</v>
      </c>
      <c r="C7" s="111">
        <f>612626/1000</f>
        <v>612.626</v>
      </c>
      <c r="D7" s="114"/>
      <c r="E7" s="115"/>
      <c r="F7" s="10"/>
      <c r="G7" s="3"/>
      <c r="H7" s="114"/>
      <c r="I7" s="115"/>
      <c r="J7" s="10"/>
      <c r="K7" s="3"/>
      <c r="L7" s="128">
        <v>533</v>
      </c>
      <c r="M7" s="110">
        <f>19179/1000</f>
        <v>19.179</v>
      </c>
      <c r="N7" s="128">
        <v>82</v>
      </c>
      <c r="O7" s="110">
        <f>44562/1000</f>
        <v>44.562</v>
      </c>
      <c r="P7" s="110">
        <f>353912/1000</f>
        <v>353.912</v>
      </c>
    </row>
    <row r="8" spans="1:16" ht="18" customHeight="1">
      <c r="A8" s="112"/>
      <c r="B8" s="116"/>
      <c r="C8" s="111"/>
      <c r="D8" s="6">
        <f>(744+9916+462283)/1000</f>
        <v>472.943</v>
      </c>
      <c r="E8" s="7">
        <f>D8/C7*100</f>
        <v>77.19930267406215</v>
      </c>
      <c r="F8" s="8">
        <f>504412/1000</f>
        <v>504.412</v>
      </c>
      <c r="G8" s="9">
        <f>F8/C7*100</f>
        <v>82.33604189179043</v>
      </c>
      <c r="H8" s="6">
        <f>(27405+409647)/1000</f>
        <v>437.052</v>
      </c>
      <c r="I8" s="7">
        <f>H8/C7*100</f>
        <v>71.34075275943235</v>
      </c>
      <c r="J8" s="8">
        <f>609475/1000</f>
        <v>609.475</v>
      </c>
      <c r="K8" s="9">
        <f>J8/C7*100</f>
        <v>99.48565682814639</v>
      </c>
      <c r="L8" s="128"/>
      <c r="M8" s="110"/>
      <c r="N8" s="128"/>
      <c r="O8" s="110"/>
      <c r="P8" s="110"/>
    </row>
    <row r="9" spans="1:16" ht="18" customHeight="1">
      <c r="A9" s="112" t="s">
        <v>18</v>
      </c>
      <c r="B9" s="113">
        <v>18</v>
      </c>
      <c r="C9" s="111">
        <f>1073600/1000</f>
        <v>1073.6</v>
      </c>
      <c r="D9" s="114"/>
      <c r="E9" s="115"/>
      <c r="F9" s="10"/>
      <c r="G9" s="3"/>
      <c r="H9" s="114"/>
      <c r="I9" s="115"/>
      <c r="J9" s="10"/>
      <c r="K9" s="3"/>
      <c r="L9" s="128">
        <v>1207</v>
      </c>
      <c r="M9" s="110">
        <f>62388/1000</f>
        <v>62.388</v>
      </c>
      <c r="N9" s="128">
        <v>129</v>
      </c>
      <c r="O9" s="110">
        <f>66418/1000</f>
        <v>66.418</v>
      </c>
      <c r="P9" s="110">
        <f>692706/1000</f>
        <v>692.706</v>
      </c>
    </row>
    <row r="10" spans="1:16" ht="18" customHeight="1">
      <c r="A10" s="112"/>
      <c r="B10" s="113"/>
      <c r="C10" s="111"/>
      <c r="D10" s="6">
        <f>(4454+98240+831223)/1000</f>
        <v>933.917</v>
      </c>
      <c r="E10" s="7">
        <f>D10/C9*100</f>
        <v>86.98928837555889</v>
      </c>
      <c r="F10" s="8">
        <f>965386/1000</f>
        <v>965.386</v>
      </c>
      <c r="G10" s="9">
        <f>F10/C9*100</f>
        <v>89.92045454545455</v>
      </c>
      <c r="H10" s="6">
        <f>(46791+851235)/1000</f>
        <v>898.026</v>
      </c>
      <c r="I10" s="7">
        <f>H10/C9*100</f>
        <v>83.64623695976155</v>
      </c>
      <c r="J10" s="8">
        <f>1070449/1000</f>
        <v>1070.449</v>
      </c>
      <c r="K10" s="9">
        <f>J10/C9*100</f>
        <v>99.70650149031299</v>
      </c>
      <c r="L10" s="128"/>
      <c r="M10" s="110"/>
      <c r="N10" s="128"/>
      <c r="O10" s="110"/>
      <c r="P10" s="110"/>
    </row>
    <row r="11" spans="1:16" ht="18" customHeight="1">
      <c r="A11" s="112" t="s">
        <v>19</v>
      </c>
      <c r="B11" s="113">
        <v>54</v>
      </c>
      <c r="C11" s="111">
        <f>1099841/1000</f>
        <v>1099.841</v>
      </c>
      <c r="D11" s="114"/>
      <c r="E11" s="115"/>
      <c r="F11" s="10"/>
      <c r="G11" s="3"/>
      <c r="H11" s="114"/>
      <c r="I11" s="115"/>
      <c r="J11" s="10"/>
      <c r="K11" s="3"/>
      <c r="L11" s="128">
        <v>745</v>
      </c>
      <c r="M11" s="110">
        <f>18073/1000</f>
        <v>18.073</v>
      </c>
      <c r="N11" s="128">
        <v>56</v>
      </c>
      <c r="O11" s="110">
        <f>21285/1000</f>
        <v>21.285</v>
      </c>
      <c r="P11" s="110">
        <f>372342/1000</f>
        <v>372.342</v>
      </c>
    </row>
    <row r="12" spans="1:16" ht="18" customHeight="1">
      <c r="A12" s="112"/>
      <c r="B12" s="113"/>
      <c r="C12" s="111"/>
      <c r="D12" s="6">
        <f>(5529+26424+697213)/1000</f>
        <v>729.166</v>
      </c>
      <c r="E12" s="7">
        <f>D12/C11*100</f>
        <v>66.29740116980547</v>
      </c>
      <c r="F12" s="8">
        <f>853465/1000</f>
        <v>853.465</v>
      </c>
      <c r="G12" s="9">
        <f>F12/C11*100</f>
        <v>77.59894384733795</v>
      </c>
      <c r="H12" s="6">
        <f>(18449+595146)/1000</f>
        <v>613.595</v>
      </c>
      <c r="I12" s="7">
        <f>H12/C11*100</f>
        <v>55.78942774455581</v>
      </c>
      <c r="J12" s="8">
        <f>1072014/1000</f>
        <v>1072.014</v>
      </c>
      <c r="K12" s="9">
        <f>J12/C11*100</f>
        <v>97.469907013832</v>
      </c>
      <c r="L12" s="128"/>
      <c r="M12" s="110"/>
      <c r="N12" s="128"/>
      <c r="O12" s="110"/>
      <c r="P12" s="110"/>
    </row>
    <row r="13" spans="1:16" ht="18" customHeight="1">
      <c r="A13" s="112" t="s">
        <v>20</v>
      </c>
      <c r="B13" s="113">
        <v>189</v>
      </c>
      <c r="C13" s="111">
        <f>1793883/1000</f>
        <v>1793.883</v>
      </c>
      <c r="D13" s="114"/>
      <c r="E13" s="115"/>
      <c r="F13" s="11"/>
      <c r="G13" s="3"/>
      <c r="H13" s="114"/>
      <c r="I13" s="115"/>
      <c r="J13" s="11"/>
      <c r="K13" s="3"/>
      <c r="L13" s="128">
        <v>1010</v>
      </c>
      <c r="M13" s="110">
        <f>15665/1000</f>
        <v>15.665</v>
      </c>
      <c r="N13" s="128">
        <v>23</v>
      </c>
      <c r="O13" s="110">
        <f>5215/1000</f>
        <v>5.215</v>
      </c>
      <c r="P13" s="110">
        <f>283437/1000</f>
        <v>283.437</v>
      </c>
    </row>
    <row r="14" spans="1:16" ht="18" customHeight="1">
      <c r="A14" s="112"/>
      <c r="B14" s="113"/>
      <c r="C14" s="111"/>
      <c r="D14" s="6">
        <f>(1032+6539+693247)/1000</f>
        <v>700.818</v>
      </c>
      <c r="E14" s="7">
        <f>D14/C13*100</f>
        <v>39.067096349093</v>
      </c>
      <c r="F14" s="8">
        <f>1009052/1000</f>
        <v>1009.052</v>
      </c>
      <c r="G14" s="9">
        <f>F14/C13*100</f>
        <v>56.24959933284389</v>
      </c>
      <c r="H14" s="6">
        <f>(18757+543818)/1000</f>
        <v>562.575</v>
      </c>
      <c r="I14" s="7">
        <f>H14/C13*100</f>
        <v>31.36074091788595</v>
      </c>
      <c r="J14" s="8">
        <f>1655967/1000</f>
        <v>1655.967</v>
      </c>
      <c r="K14" s="9">
        <f>J14/C13*100</f>
        <v>92.31187318236474</v>
      </c>
      <c r="L14" s="128"/>
      <c r="M14" s="110"/>
      <c r="N14" s="128"/>
      <c r="O14" s="110"/>
      <c r="P14" s="110"/>
    </row>
    <row r="15" spans="1:16" ht="18" customHeight="1">
      <c r="A15" s="112" t="s">
        <v>21</v>
      </c>
      <c r="B15" s="113">
        <v>244</v>
      </c>
      <c r="C15" s="111">
        <f>2893724/1000</f>
        <v>2893.724</v>
      </c>
      <c r="D15" s="114"/>
      <c r="E15" s="115"/>
      <c r="F15" s="10"/>
      <c r="G15" s="3"/>
      <c r="H15" s="114"/>
      <c r="I15" s="115"/>
      <c r="J15" s="10"/>
      <c r="K15" s="3"/>
      <c r="L15" s="128">
        <v>1755</v>
      </c>
      <c r="M15" s="110">
        <f>33738/1000</f>
        <v>33.738</v>
      </c>
      <c r="N15" s="128">
        <v>79</v>
      </c>
      <c r="O15" s="110">
        <f>26500/1000</f>
        <v>26.5</v>
      </c>
      <c r="P15" s="110">
        <f>655779/1000</f>
        <v>655.779</v>
      </c>
    </row>
    <row r="16" spans="1:16" ht="18" customHeight="1">
      <c r="A16" s="112"/>
      <c r="B16" s="113"/>
      <c r="C16" s="111"/>
      <c r="D16" s="6">
        <f>(6561+32963+1390460)/1000</f>
        <v>1429.984</v>
      </c>
      <c r="E16" s="7">
        <f>D16/C15*100</f>
        <v>49.41673774001943</v>
      </c>
      <c r="F16" s="8">
        <f>1862517/1000</f>
        <v>1862.517</v>
      </c>
      <c r="G16" s="9">
        <f>F16/C15*100</f>
        <v>64.36401674796906</v>
      </c>
      <c r="H16" s="6">
        <f>(37206+1138964)/1000</f>
        <v>1176.17</v>
      </c>
      <c r="I16" s="7">
        <f>H16/C15*100</f>
        <v>40.64554878074066</v>
      </c>
      <c r="J16" s="8">
        <f>2727981/1000</f>
        <v>2727.981</v>
      </c>
      <c r="K16" s="9">
        <f>J16/C15*100</f>
        <v>94.2723286671431</v>
      </c>
      <c r="L16" s="128"/>
      <c r="M16" s="110"/>
      <c r="N16" s="128"/>
      <c r="O16" s="110"/>
      <c r="P16" s="110"/>
    </row>
    <row r="17" spans="1:16" s="14" customFormat="1" ht="18" customHeight="1">
      <c r="A17" s="76" t="s">
        <v>22</v>
      </c>
      <c r="B17" s="101">
        <v>262</v>
      </c>
      <c r="C17" s="98">
        <f>3967324/1000</f>
        <v>3967.324</v>
      </c>
      <c r="D17" s="81"/>
      <c r="E17" s="82"/>
      <c r="F17" s="12"/>
      <c r="G17" s="13"/>
      <c r="H17" s="81"/>
      <c r="I17" s="82"/>
      <c r="J17" s="12"/>
      <c r="K17" s="13"/>
      <c r="L17" s="99">
        <v>2962</v>
      </c>
      <c r="M17" s="100">
        <f>96126/1000</f>
        <v>96.126</v>
      </c>
      <c r="N17" s="99">
        <v>208</v>
      </c>
      <c r="O17" s="100">
        <f>92918/1000</f>
        <v>92.918</v>
      </c>
      <c r="P17" s="100">
        <f>1348485/1000</f>
        <v>1348.485</v>
      </c>
    </row>
    <row r="18" spans="1:16" s="14" customFormat="1" ht="18" customHeight="1">
      <c r="A18" s="76"/>
      <c r="B18" s="101"/>
      <c r="C18" s="98"/>
      <c r="D18" s="15">
        <f>(11015+131203+2221683)/1000</f>
        <v>2363.901</v>
      </c>
      <c r="E18" s="16">
        <f>D18/C17*100</f>
        <v>59.584268892583516</v>
      </c>
      <c r="F18" s="17">
        <f>2827903/1000</f>
        <v>2827.903</v>
      </c>
      <c r="G18" s="18">
        <f>F18/C17*100</f>
        <v>71.27986017779237</v>
      </c>
      <c r="H18" s="15">
        <f>(83997+1990199)/1000</f>
        <v>2074.196</v>
      </c>
      <c r="I18" s="16">
        <f>H18/C17*100</f>
        <v>52.28199158929293</v>
      </c>
      <c r="J18" s="17">
        <f>3798430/1000</f>
        <v>3798.43</v>
      </c>
      <c r="K18" s="18">
        <f>J18/C17*100</f>
        <v>95.7428735338984</v>
      </c>
      <c r="L18" s="99"/>
      <c r="M18" s="100"/>
      <c r="N18" s="99"/>
      <c r="O18" s="100"/>
      <c r="P18" s="100"/>
    </row>
    <row r="19" spans="1:16" s="14" customFormat="1" ht="18" customHeight="1">
      <c r="A19" s="76" t="s">
        <v>23</v>
      </c>
      <c r="B19" s="101">
        <v>257</v>
      </c>
      <c r="C19" s="98">
        <f>3506350/1000</f>
        <v>3506.35</v>
      </c>
      <c r="D19" s="81"/>
      <c r="E19" s="82"/>
      <c r="F19" s="12"/>
      <c r="G19" s="13"/>
      <c r="H19" s="81"/>
      <c r="I19" s="82"/>
      <c r="J19" s="12"/>
      <c r="K19" s="13"/>
      <c r="L19" s="99">
        <v>2288</v>
      </c>
      <c r="M19" s="100">
        <f>52917/1000</f>
        <v>52.917</v>
      </c>
      <c r="N19" s="99">
        <v>161</v>
      </c>
      <c r="O19" s="100">
        <f>71062/1000</f>
        <v>71.062</v>
      </c>
      <c r="P19" s="100">
        <f>1009691/1000</f>
        <v>1009.691</v>
      </c>
    </row>
    <row r="20" spans="1:16" s="14" customFormat="1" ht="18" customHeight="1">
      <c r="A20" s="76"/>
      <c r="B20" s="101"/>
      <c r="C20" s="98"/>
      <c r="D20" s="15">
        <f>(7305+42879+1852743)/1000</f>
        <v>1902.927</v>
      </c>
      <c r="E20" s="16">
        <f>D20/C19*100</f>
        <v>54.27087997490268</v>
      </c>
      <c r="F20" s="17">
        <f>2366929/1000</f>
        <v>2366.929</v>
      </c>
      <c r="G20" s="18">
        <f>F20/C19*100</f>
        <v>67.50407118513554</v>
      </c>
      <c r="H20" s="15">
        <f>(64611+1548611)/1000</f>
        <v>1613.222</v>
      </c>
      <c r="I20" s="16">
        <f>H20/C19*100</f>
        <v>46.00858442539963</v>
      </c>
      <c r="J20" s="17">
        <f>3337456/1000</f>
        <v>3337.456</v>
      </c>
      <c r="K20" s="18">
        <f>J20/C19*100</f>
        <v>95.18319620117786</v>
      </c>
      <c r="L20" s="99"/>
      <c r="M20" s="100"/>
      <c r="N20" s="99"/>
      <c r="O20" s="100"/>
      <c r="P20" s="100"/>
    </row>
    <row r="21" spans="1:16" s="14" customFormat="1" ht="18" customHeight="1">
      <c r="A21" s="76" t="s">
        <v>24</v>
      </c>
      <c r="B21" s="101">
        <v>1067</v>
      </c>
      <c r="C21" s="98">
        <f>1556775/1000</f>
        <v>1556.775</v>
      </c>
      <c r="D21" s="81"/>
      <c r="E21" s="82"/>
      <c r="F21" s="12"/>
      <c r="G21" s="13"/>
      <c r="H21" s="81"/>
      <c r="I21" s="82"/>
      <c r="J21" s="12"/>
      <c r="K21" s="13"/>
      <c r="L21" s="99">
        <v>1135</v>
      </c>
      <c r="M21" s="100">
        <f>19167/1000</f>
        <v>19.167</v>
      </c>
      <c r="N21" s="99">
        <v>21</v>
      </c>
      <c r="O21" s="100">
        <f>4841/1000</f>
        <v>4.841</v>
      </c>
      <c r="P21" s="100">
        <f>278996/1000</f>
        <v>278.996</v>
      </c>
    </row>
    <row r="22" spans="1:16" s="14" customFormat="1" ht="18" customHeight="1">
      <c r="A22" s="76"/>
      <c r="B22" s="101"/>
      <c r="C22" s="98"/>
      <c r="D22" s="15">
        <f>(5585+23260+526610)/1000</f>
        <v>555.455</v>
      </c>
      <c r="E22" s="16">
        <f>D22/C21*100</f>
        <v>35.67985097396863</v>
      </c>
      <c r="F22" s="17">
        <f>1224885/1000</f>
        <v>1224.885</v>
      </c>
      <c r="G22" s="18">
        <f>F22/C21*100</f>
        <v>78.68092691622103</v>
      </c>
      <c r="H22" s="15">
        <f>(47395+253573)/1000</f>
        <v>300.968</v>
      </c>
      <c r="I22" s="16">
        <f>H22/C21*100</f>
        <v>19.332787332787333</v>
      </c>
      <c r="J22" s="17">
        <f>1495722/1000</f>
        <v>1495.722</v>
      </c>
      <c r="K22" s="18">
        <f>J22/C21*100</f>
        <v>96.07823866647396</v>
      </c>
      <c r="L22" s="99"/>
      <c r="M22" s="100"/>
      <c r="N22" s="99"/>
      <c r="O22" s="100"/>
      <c r="P22" s="100"/>
    </row>
    <row r="23" spans="1:16" s="14" customFormat="1" ht="18" customHeight="1">
      <c r="A23" s="76" t="s">
        <v>25</v>
      </c>
      <c r="B23" s="101">
        <v>1393</v>
      </c>
      <c r="C23" s="98">
        <f>1646472/1000</f>
        <v>1646.472</v>
      </c>
      <c r="D23" s="107"/>
      <c r="E23" s="108"/>
      <c r="F23" s="12"/>
      <c r="G23" s="13"/>
      <c r="H23" s="107"/>
      <c r="I23" s="108"/>
      <c r="J23" s="12"/>
      <c r="K23" s="13"/>
      <c r="L23" s="99">
        <v>1217</v>
      </c>
      <c r="M23" s="100">
        <f>12227/1000</f>
        <v>12.227</v>
      </c>
      <c r="N23" s="99">
        <v>5</v>
      </c>
      <c r="O23" s="100">
        <f>686/1000</f>
        <v>0.686</v>
      </c>
      <c r="P23" s="100">
        <f>66391/1000</f>
        <v>66.391</v>
      </c>
    </row>
    <row r="24" spans="1:16" s="14" customFormat="1" ht="18" customHeight="1">
      <c r="A24" s="76"/>
      <c r="B24" s="101"/>
      <c r="C24" s="98"/>
      <c r="D24" s="15">
        <f>(233+2220+217418)/1000</f>
        <v>219.871</v>
      </c>
      <c r="E24" s="16">
        <f>D24/C23*100</f>
        <v>13.354068578147702</v>
      </c>
      <c r="F24" s="17">
        <f>1037268/1000</f>
        <v>1037.268</v>
      </c>
      <c r="G24" s="18">
        <f>F24/C23*100</f>
        <v>62.99943151174146</v>
      </c>
      <c r="H24" s="15">
        <f>(92398+50658)/1000</f>
        <v>143.056</v>
      </c>
      <c r="I24" s="16">
        <f>H24/C23*100</f>
        <v>8.688638494915189</v>
      </c>
      <c r="J24" s="17">
        <f>1534351/1000</f>
        <v>1534.351</v>
      </c>
      <c r="K24" s="18">
        <f>J24/C23*100</f>
        <v>93.19022734671468</v>
      </c>
      <c r="L24" s="99"/>
      <c r="M24" s="100"/>
      <c r="N24" s="99"/>
      <c r="O24" s="100"/>
      <c r="P24" s="100"/>
    </row>
    <row r="25" spans="1:16" s="14" customFormat="1" ht="18" customHeight="1">
      <c r="A25" s="76" t="s">
        <v>26</v>
      </c>
      <c r="B25" s="101">
        <v>2460</v>
      </c>
      <c r="C25" s="98">
        <f>3203247/1000</f>
        <v>3203.247</v>
      </c>
      <c r="D25" s="81"/>
      <c r="E25" s="82"/>
      <c r="F25" s="12"/>
      <c r="G25" s="13"/>
      <c r="H25" s="81"/>
      <c r="I25" s="82"/>
      <c r="J25" s="12"/>
      <c r="K25" s="13"/>
      <c r="L25" s="99">
        <v>2532</v>
      </c>
      <c r="M25" s="100">
        <f>31394/1000</f>
        <v>31.394</v>
      </c>
      <c r="N25" s="99">
        <v>26</v>
      </c>
      <c r="O25" s="100">
        <f>5527/1000</f>
        <v>5.527</v>
      </c>
      <c r="P25" s="100">
        <f>345387/1000</f>
        <v>345.387</v>
      </c>
    </row>
    <row r="26" spans="1:16" s="14" customFormat="1" ht="18" customHeight="1">
      <c r="A26" s="76"/>
      <c r="B26" s="101"/>
      <c r="C26" s="98"/>
      <c r="D26" s="15">
        <f>(5818+25480+744028)/1000</f>
        <v>775.326</v>
      </c>
      <c r="E26" s="16">
        <f>D26/C25*100</f>
        <v>24.204377620583116</v>
      </c>
      <c r="F26" s="17">
        <f>2262153/1000</f>
        <v>2262.153</v>
      </c>
      <c r="G26" s="18">
        <f>F26/C25*100</f>
        <v>70.6206233862078</v>
      </c>
      <c r="H26" s="15">
        <f>(139793+304231)/1000</f>
        <v>444.024</v>
      </c>
      <c r="I26" s="16">
        <f>H26/C25*100</f>
        <v>13.861684721783865</v>
      </c>
      <c r="J26" s="17">
        <f>3030073/1000</f>
        <v>3030.073</v>
      </c>
      <c r="K26" s="18">
        <f>J26/C25*100</f>
        <v>94.59379810548484</v>
      </c>
      <c r="L26" s="99"/>
      <c r="M26" s="100"/>
      <c r="N26" s="99"/>
      <c r="O26" s="100"/>
      <c r="P26" s="100"/>
    </row>
    <row r="27" spans="1:16" s="14" customFormat="1" ht="18" customHeight="1">
      <c r="A27" s="76" t="s">
        <v>36</v>
      </c>
      <c r="B27" s="101">
        <v>25790</v>
      </c>
      <c r="C27" s="98">
        <f>10756878/1000</f>
        <v>10756.878</v>
      </c>
      <c r="D27" s="81"/>
      <c r="E27" s="82"/>
      <c r="F27" s="12"/>
      <c r="G27" s="13"/>
      <c r="H27" s="81"/>
      <c r="I27" s="82"/>
      <c r="J27" s="12"/>
      <c r="K27" s="13"/>
      <c r="L27" s="99">
        <v>6732</v>
      </c>
      <c r="M27" s="100">
        <f>59114/1000</f>
        <v>59.114</v>
      </c>
      <c r="N27" s="99">
        <v>32</v>
      </c>
      <c r="O27" s="100">
        <f>6143/1000</f>
        <v>6.143</v>
      </c>
      <c r="P27" s="100">
        <f>183154/1000</f>
        <v>183.154</v>
      </c>
    </row>
    <row r="28" spans="1:16" s="14" customFormat="1" ht="18" customHeight="1">
      <c r="A28" s="76"/>
      <c r="B28" s="101"/>
      <c r="C28" s="98"/>
      <c r="D28" s="15">
        <f>(2284+10816+687461)/1000</f>
        <v>700.561</v>
      </c>
      <c r="E28" s="16">
        <f>D28/C27*100</f>
        <v>6.512679608339892</v>
      </c>
      <c r="F28" s="17">
        <f>4630531/1000</f>
        <v>4630.531</v>
      </c>
      <c r="G28" s="18">
        <f>F28/C27*100</f>
        <v>43.047164800047</v>
      </c>
      <c r="H28" s="15">
        <f>(1123053+205086)/1000</f>
        <v>1328.139</v>
      </c>
      <c r="I28" s="16">
        <f>H28/C27*100</f>
        <v>12.346881688162679</v>
      </c>
      <c r="J28" s="17">
        <f>8732412/1000</f>
        <v>8732.412</v>
      </c>
      <c r="K28" s="18">
        <f>J28/C27*100</f>
        <v>81.17979956637976</v>
      </c>
      <c r="L28" s="99"/>
      <c r="M28" s="100"/>
      <c r="N28" s="99"/>
      <c r="O28" s="100"/>
      <c r="P28" s="100"/>
    </row>
    <row r="29" spans="1:16" s="14" customFormat="1" ht="18" customHeight="1">
      <c r="A29" s="76" t="s">
        <v>27</v>
      </c>
      <c r="B29" s="101">
        <v>28250</v>
      </c>
      <c r="C29" s="98">
        <f>13960125/1000</f>
        <v>13960.125</v>
      </c>
      <c r="D29" s="81"/>
      <c r="E29" s="82"/>
      <c r="F29" s="19"/>
      <c r="G29" s="13"/>
      <c r="H29" s="81"/>
      <c r="I29" s="82"/>
      <c r="J29" s="19"/>
      <c r="K29" s="13"/>
      <c r="L29" s="99">
        <v>9084</v>
      </c>
      <c r="M29" s="100">
        <f>90508/1000</f>
        <v>90.508</v>
      </c>
      <c r="N29" s="99">
        <v>58</v>
      </c>
      <c r="O29" s="100">
        <f>11670/1000</f>
        <v>11.67</v>
      </c>
      <c r="P29" s="100">
        <f>528541/1000</f>
        <v>528.541</v>
      </c>
    </row>
    <row r="30" spans="1:16" s="14" customFormat="1" ht="18" customHeight="1">
      <c r="A30" s="76"/>
      <c r="B30" s="101"/>
      <c r="C30" s="98"/>
      <c r="D30" s="15">
        <f>(8102+36296+1431489)/1000</f>
        <v>1475.887</v>
      </c>
      <c r="E30" s="16">
        <f>D30/C29*100</f>
        <v>10.572161782218998</v>
      </c>
      <c r="F30" s="17">
        <f>6892684/1000</f>
        <v>6892.684</v>
      </c>
      <c r="G30" s="18">
        <f>F30/C29*100</f>
        <v>49.374085117432685</v>
      </c>
      <c r="H30" s="15">
        <f>(1262846+509317)/1000</f>
        <v>1772.163</v>
      </c>
      <c r="I30" s="16">
        <f>H30/C29*100</f>
        <v>12.69446369570473</v>
      </c>
      <c r="J30" s="17">
        <f>11762485/1000</f>
        <v>11762.485</v>
      </c>
      <c r="K30" s="18">
        <f>J30/C29*100</f>
        <v>84.25773408189397</v>
      </c>
      <c r="L30" s="99"/>
      <c r="M30" s="100"/>
      <c r="N30" s="99"/>
      <c r="O30" s="100"/>
      <c r="P30" s="100"/>
    </row>
    <row r="31" spans="1:16" s="14" customFormat="1" ht="18" customHeight="1">
      <c r="A31" s="76" t="s">
        <v>28</v>
      </c>
      <c r="B31" s="101">
        <f>SUM(B17,B29)</f>
        <v>28512</v>
      </c>
      <c r="C31" s="98">
        <f>17927449/1000</f>
        <v>17927.449</v>
      </c>
      <c r="D31" s="81"/>
      <c r="E31" s="82"/>
      <c r="F31" s="19"/>
      <c r="G31" s="13"/>
      <c r="H31" s="81"/>
      <c r="I31" s="82"/>
      <c r="J31" s="19"/>
      <c r="K31" s="13"/>
      <c r="L31" s="99">
        <f>SUM(L29,L17)</f>
        <v>12046</v>
      </c>
      <c r="M31" s="100">
        <f>186634/1000</f>
        <v>186.634</v>
      </c>
      <c r="N31" s="99">
        <f>SUM(N29,N17)</f>
        <v>266</v>
      </c>
      <c r="O31" s="100">
        <f>104588/1000</f>
        <v>104.588</v>
      </c>
      <c r="P31" s="100">
        <f>1877026/1000</f>
        <v>1877.026</v>
      </c>
    </row>
    <row r="32" spans="1:16" s="14" customFormat="1" ht="18" customHeight="1">
      <c r="A32" s="76"/>
      <c r="B32" s="101"/>
      <c r="C32" s="98"/>
      <c r="D32" s="15">
        <f>(19117+167499+3653172)/1000</f>
        <v>3839.788</v>
      </c>
      <c r="E32" s="16">
        <f>D32/C31*100</f>
        <v>21.41848513974297</v>
      </c>
      <c r="F32" s="17">
        <f>9720587/1000</f>
        <v>9720.587</v>
      </c>
      <c r="G32" s="18">
        <f>F32/C31*100</f>
        <v>54.22180813343827</v>
      </c>
      <c r="H32" s="15">
        <f>(1346843+2499516)/1000</f>
        <v>3846.359</v>
      </c>
      <c r="I32" s="16">
        <f>H32/C31*100</f>
        <v>21.455138430459346</v>
      </c>
      <c r="J32" s="17">
        <f>15560915/1000</f>
        <v>15560.915</v>
      </c>
      <c r="K32" s="18">
        <f>J32/C31*100</f>
        <v>86.79938233264532</v>
      </c>
      <c r="L32" s="99"/>
      <c r="M32" s="100"/>
      <c r="N32" s="99"/>
      <c r="O32" s="100"/>
      <c r="P32" s="100"/>
    </row>
    <row r="33" spans="1:16" ht="14.25" customHeight="1">
      <c r="A33" s="20" t="s">
        <v>31</v>
      </c>
      <c r="B33" s="21"/>
      <c r="C33" s="22"/>
      <c r="D33" s="23"/>
      <c r="E33" s="24"/>
      <c r="F33" s="23"/>
      <c r="G33" s="24"/>
      <c r="H33" s="23"/>
      <c r="I33" s="24"/>
      <c r="J33" s="23"/>
      <c r="K33" s="24"/>
      <c r="L33" s="25"/>
      <c r="M33" s="26"/>
      <c r="N33" s="25"/>
      <c r="O33" s="26"/>
      <c r="P33" s="26"/>
    </row>
    <row r="34" ht="13.5">
      <c r="A34" s="20" t="s">
        <v>32</v>
      </c>
    </row>
    <row r="35" ht="13.5">
      <c r="A35" s="20" t="s">
        <v>33</v>
      </c>
    </row>
    <row r="36" ht="13.5">
      <c r="A36" s="20" t="s">
        <v>37</v>
      </c>
    </row>
    <row r="37" ht="13.5">
      <c r="A37" s="20" t="s">
        <v>38</v>
      </c>
    </row>
    <row r="38" ht="13.5">
      <c r="A38" s="20"/>
    </row>
  </sheetData>
  <sheetProtection/>
  <mergeCells count="158">
    <mergeCell ref="D4:E4"/>
    <mergeCell ref="F3:G4"/>
    <mergeCell ref="D3:E3"/>
    <mergeCell ref="A5:A6"/>
    <mergeCell ref="A2:A4"/>
    <mergeCell ref="B2:B4"/>
    <mergeCell ref="C2:C4"/>
    <mergeCell ref="B5:B6"/>
    <mergeCell ref="C5:C6"/>
    <mergeCell ref="D5:G5"/>
    <mergeCell ref="A1:P1"/>
    <mergeCell ref="L2:M2"/>
    <mergeCell ref="N2:O2"/>
    <mergeCell ref="L3:L4"/>
    <mergeCell ref="M3:M4"/>
    <mergeCell ref="N3:N4"/>
    <mergeCell ref="O3:O4"/>
    <mergeCell ref="H2:K2"/>
    <mergeCell ref="H3:I3"/>
    <mergeCell ref="D2:G2"/>
    <mergeCell ref="P5:P6"/>
    <mergeCell ref="J3:K4"/>
    <mergeCell ref="L5:L6"/>
    <mergeCell ref="H4:I4"/>
    <mergeCell ref="H5:K5"/>
    <mergeCell ref="M5:M6"/>
    <mergeCell ref="N5:N6"/>
    <mergeCell ref="O5:O6"/>
    <mergeCell ref="H7:I7"/>
    <mergeCell ref="L7:L8"/>
    <mergeCell ref="M7:M8"/>
    <mergeCell ref="N7:N8"/>
    <mergeCell ref="A7:A8"/>
    <mergeCell ref="B7:B8"/>
    <mergeCell ref="C7:C8"/>
    <mergeCell ref="D7:E7"/>
    <mergeCell ref="O7:O8"/>
    <mergeCell ref="P7:P8"/>
    <mergeCell ref="A9:A10"/>
    <mergeCell ref="B9:B10"/>
    <mergeCell ref="C9:C10"/>
    <mergeCell ref="D9:E9"/>
    <mergeCell ref="H9:I9"/>
    <mergeCell ref="L9:L10"/>
    <mergeCell ref="M9:M10"/>
    <mergeCell ref="N9:N10"/>
    <mergeCell ref="O9:O10"/>
    <mergeCell ref="P9:P10"/>
    <mergeCell ref="A11:A12"/>
    <mergeCell ref="B11:B12"/>
    <mergeCell ref="C11:C12"/>
    <mergeCell ref="D11:E11"/>
    <mergeCell ref="H11:I11"/>
    <mergeCell ref="L11:L12"/>
    <mergeCell ref="M11:M12"/>
    <mergeCell ref="N11:N12"/>
    <mergeCell ref="O11:O12"/>
    <mergeCell ref="P11:P12"/>
    <mergeCell ref="A13:A14"/>
    <mergeCell ref="B13:B14"/>
    <mergeCell ref="C13:C14"/>
    <mergeCell ref="D13:E13"/>
    <mergeCell ref="H13:I13"/>
    <mergeCell ref="L13:L14"/>
    <mergeCell ref="M13:M14"/>
    <mergeCell ref="N13:N14"/>
    <mergeCell ref="O13:O14"/>
    <mergeCell ref="P13:P14"/>
    <mergeCell ref="A15:A16"/>
    <mergeCell ref="B15:B16"/>
    <mergeCell ref="C15:C16"/>
    <mergeCell ref="D15:E15"/>
    <mergeCell ref="H15:I15"/>
    <mergeCell ref="L15:L16"/>
    <mergeCell ref="M15:M16"/>
    <mergeCell ref="N15:N16"/>
    <mergeCell ref="O15:O16"/>
    <mergeCell ref="P15:P16"/>
    <mergeCell ref="A17:A18"/>
    <mergeCell ref="B17:B18"/>
    <mergeCell ref="C17:C18"/>
    <mergeCell ref="D17:E17"/>
    <mergeCell ref="H17:I17"/>
    <mergeCell ref="L17:L18"/>
    <mergeCell ref="M17:M18"/>
    <mergeCell ref="N17:N18"/>
    <mergeCell ref="O17:O18"/>
    <mergeCell ref="P17:P18"/>
    <mergeCell ref="A19:A20"/>
    <mergeCell ref="B19:B20"/>
    <mergeCell ref="C19:C20"/>
    <mergeCell ref="D19:E19"/>
    <mergeCell ref="H19:I19"/>
    <mergeCell ref="L19:L20"/>
    <mergeCell ref="M19:M20"/>
    <mergeCell ref="N19:N20"/>
    <mergeCell ref="O19:O20"/>
    <mergeCell ref="P19:P20"/>
    <mergeCell ref="A21:A22"/>
    <mergeCell ref="B21:B22"/>
    <mergeCell ref="C21:C22"/>
    <mergeCell ref="D21:E21"/>
    <mergeCell ref="H21:I21"/>
    <mergeCell ref="L21:L22"/>
    <mergeCell ref="M21:M22"/>
    <mergeCell ref="N21:N22"/>
    <mergeCell ref="O21:O22"/>
    <mergeCell ref="P21:P22"/>
    <mergeCell ref="A23:A24"/>
    <mergeCell ref="B23:B24"/>
    <mergeCell ref="C23:C24"/>
    <mergeCell ref="D23:E23"/>
    <mergeCell ref="H23:I23"/>
    <mergeCell ref="L23:L24"/>
    <mergeCell ref="M23:M24"/>
    <mergeCell ref="N23:N24"/>
    <mergeCell ref="A25:A26"/>
    <mergeCell ref="B25:B26"/>
    <mergeCell ref="C25:C26"/>
    <mergeCell ref="D25:E25"/>
    <mergeCell ref="H25:I25"/>
    <mergeCell ref="L25:L26"/>
    <mergeCell ref="O27:O28"/>
    <mergeCell ref="P27:P28"/>
    <mergeCell ref="N27:N28"/>
    <mergeCell ref="H27:I27"/>
    <mergeCell ref="O23:O24"/>
    <mergeCell ref="P23:P24"/>
    <mergeCell ref="M25:M26"/>
    <mergeCell ref="N25:N26"/>
    <mergeCell ref="O25:O26"/>
    <mergeCell ref="P25:P26"/>
    <mergeCell ref="A29:A30"/>
    <mergeCell ref="B29:B30"/>
    <mergeCell ref="C29:C30"/>
    <mergeCell ref="D29:E29"/>
    <mergeCell ref="A27:A28"/>
    <mergeCell ref="B27:B28"/>
    <mergeCell ref="C27:C28"/>
    <mergeCell ref="D27:E27"/>
    <mergeCell ref="N31:N32"/>
    <mergeCell ref="N29:N30"/>
    <mergeCell ref="L27:L28"/>
    <mergeCell ref="M27:M28"/>
    <mergeCell ref="H29:I29"/>
    <mergeCell ref="L29:L30"/>
    <mergeCell ref="L31:L32"/>
    <mergeCell ref="M31:M32"/>
    <mergeCell ref="P29:P30"/>
    <mergeCell ref="A31:A32"/>
    <mergeCell ref="B31:B32"/>
    <mergeCell ref="C31:C32"/>
    <mergeCell ref="D31:E31"/>
    <mergeCell ref="O31:O32"/>
    <mergeCell ref="P31:P32"/>
    <mergeCell ref="M29:M30"/>
    <mergeCell ref="O29:O30"/>
    <mergeCell ref="H31:I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C5" sqref="C5:C6"/>
    </sheetView>
  </sheetViews>
  <sheetFormatPr defaultColWidth="8.875" defaultRowHeight="13.5"/>
  <cols>
    <col min="1" max="1" width="18.00390625" style="1" customWidth="1"/>
    <col min="2" max="2" width="8.875" style="1" customWidth="1"/>
    <col min="3" max="3" width="9.875" style="1" customWidth="1"/>
    <col min="4" max="4" width="14.75390625" style="1" customWidth="1"/>
    <col min="5" max="5" width="13.125" style="1" customWidth="1"/>
    <col min="6" max="6" width="10.75390625" style="1" customWidth="1"/>
    <col min="7" max="7" width="7.75390625" style="1" customWidth="1"/>
    <col min="8" max="8" width="14.75390625" style="1" customWidth="1"/>
    <col min="9" max="9" width="13.125" style="1" customWidth="1"/>
    <col min="10" max="10" width="10.75390625" style="1" customWidth="1"/>
    <col min="11" max="11" width="7.75390625" style="1" customWidth="1"/>
    <col min="12" max="14" width="8.875" style="1" customWidth="1"/>
    <col min="15" max="15" width="9.00390625" style="1" bestFit="1" customWidth="1"/>
    <col min="16" max="16" width="10.00390625" style="1" bestFit="1" customWidth="1"/>
    <col min="17" max="16384" width="8.875" style="1" customWidth="1"/>
  </cols>
  <sheetData>
    <row r="1" spans="1:16" ht="36" customHeight="1">
      <c r="A1" s="126" t="s">
        <v>29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25.5" customHeight="1">
      <c r="A2" s="112" t="s">
        <v>0</v>
      </c>
      <c r="B2" s="112" t="s">
        <v>1</v>
      </c>
      <c r="C2" s="112" t="s">
        <v>2</v>
      </c>
      <c r="D2" s="127" t="s">
        <v>3</v>
      </c>
      <c r="E2" s="127"/>
      <c r="F2" s="127"/>
      <c r="G2" s="127"/>
      <c r="H2" s="127" t="s">
        <v>4</v>
      </c>
      <c r="I2" s="127"/>
      <c r="J2" s="127"/>
      <c r="K2" s="127"/>
      <c r="L2" s="112" t="s">
        <v>5</v>
      </c>
      <c r="M2" s="112"/>
      <c r="N2" s="112" t="s">
        <v>6</v>
      </c>
      <c r="O2" s="112"/>
      <c r="P2" s="2" t="s">
        <v>7</v>
      </c>
    </row>
    <row r="3" spans="1:16" ht="13.5">
      <c r="A3" s="112"/>
      <c r="B3" s="112"/>
      <c r="C3" s="112"/>
      <c r="D3" s="114"/>
      <c r="E3" s="115"/>
      <c r="F3" s="115" t="s">
        <v>8</v>
      </c>
      <c r="G3" s="117"/>
      <c r="H3" s="120"/>
      <c r="I3" s="122"/>
      <c r="J3" s="115" t="s">
        <v>9</v>
      </c>
      <c r="K3" s="117"/>
      <c r="L3" s="125" t="s">
        <v>10</v>
      </c>
      <c r="M3" s="112" t="s">
        <v>11</v>
      </c>
      <c r="N3" s="112" t="s">
        <v>10</v>
      </c>
      <c r="O3" s="112" t="s">
        <v>11</v>
      </c>
      <c r="P3" s="4" t="s">
        <v>12</v>
      </c>
    </row>
    <row r="4" spans="1:16" ht="13.5">
      <c r="A4" s="112"/>
      <c r="B4" s="112"/>
      <c r="C4" s="112"/>
      <c r="D4" s="120" t="s">
        <v>13</v>
      </c>
      <c r="E4" s="121"/>
      <c r="F4" s="123"/>
      <c r="G4" s="124"/>
      <c r="H4" s="120" t="s">
        <v>14</v>
      </c>
      <c r="I4" s="121"/>
      <c r="J4" s="123"/>
      <c r="K4" s="124"/>
      <c r="L4" s="125"/>
      <c r="M4" s="112"/>
      <c r="N4" s="112"/>
      <c r="O4" s="112"/>
      <c r="P4" s="5" t="s">
        <v>15</v>
      </c>
    </row>
    <row r="5" spans="1:16" ht="18" customHeight="1">
      <c r="A5" s="118" t="s">
        <v>16</v>
      </c>
      <c r="B5" s="116">
        <v>6</v>
      </c>
      <c r="C5" s="111">
        <f>452241/1000</f>
        <v>452.241</v>
      </c>
      <c r="D5" s="114"/>
      <c r="E5" s="115"/>
      <c r="F5" s="115"/>
      <c r="G5" s="117"/>
      <c r="H5" s="114"/>
      <c r="I5" s="115"/>
      <c r="J5" s="115"/>
      <c r="K5" s="117"/>
      <c r="L5" s="128">
        <v>655</v>
      </c>
      <c r="M5" s="110">
        <f>35006/1000</f>
        <v>35.006</v>
      </c>
      <c r="N5" s="128">
        <v>42</v>
      </c>
      <c r="O5" s="110">
        <f>18007/1000</f>
        <v>18.007</v>
      </c>
      <c r="P5" s="110">
        <f>339560/1000</f>
        <v>339.56</v>
      </c>
    </row>
    <row r="6" spans="1:16" ht="18" customHeight="1">
      <c r="A6" s="119"/>
      <c r="B6" s="116"/>
      <c r="C6" s="111"/>
      <c r="D6" s="6">
        <f>$C$5</f>
        <v>452.241</v>
      </c>
      <c r="E6" s="7">
        <f>D6/C5*100</f>
        <v>100</v>
      </c>
      <c r="F6" s="8">
        <f>$C$5</f>
        <v>452.241</v>
      </c>
      <c r="G6" s="9">
        <f>F6/C5*100</f>
        <v>100</v>
      </c>
      <c r="H6" s="6">
        <f>$C$5</f>
        <v>452.241</v>
      </c>
      <c r="I6" s="7">
        <f>H6/C5*100</f>
        <v>100</v>
      </c>
      <c r="J6" s="8">
        <f>$C$5</f>
        <v>452.241</v>
      </c>
      <c r="K6" s="9">
        <f>J6/C5*100</f>
        <v>100</v>
      </c>
      <c r="L6" s="128"/>
      <c r="M6" s="110"/>
      <c r="N6" s="128"/>
      <c r="O6" s="110"/>
      <c r="P6" s="110"/>
    </row>
    <row r="7" spans="1:16" ht="18" customHeight="1">
      <c r="A7" s="112" t="s">
        <v>17</v>
      </c>
      <c r="B7" s="116">
        <v>13</v>
      </c>
      <c r="C7" s="111">
        <f>612326/1000</f>
        <v>612.326</v>
      </c>
      <c r="D7" s="114"/>
      <c r="E7" s="115"/>
      <c r="F7" s="10"/>
      <c r="G7" s="3"/>
      <c r="H7" s="114"/>
      <c r="I7" s="115"/>
      <c r="J7" s="10"/>
      <c r="K7" s="3"/>
      <c r="L7" s="128">
        <v>536</v>
      </c>
      <c r="M7" s="110">
        <f>18662/1000</f>
        <v>18.662</v>
      </c>
      <c r="N7" s="128">
        <v>81</v>
      </c>
      <c r="O7" s="110">
        <f>44214/1000</f>
        <v>44.214</v>
      </c>
      <c r="P7" s="110">
        <f>348814/1000</f>
        <v>348.814</v>
      </c>
    </row>
    <row r="8" spans="1:16" ht="18" customHeight="1">
      <c r="A8" s="112"/>
      <c r="B8" s="116"/>
      <c r="C8" s="111"/>
      <c r="D8" s="6">
        <f>(457641+9823+722)/1000</f>
        <v>468.186</v>
      </c>
      <c r="E8" s="7">
        <f>D8/C7*100</f>
        <v>76.46025156534265</v>
      </c>
      <c r="F8" s="8">
        <f>500072/1000</f>
        <v>500.072</v>
      </c>
      <c r="G8" s="9">
        <f>F8/C7*100</f>
        <v>81.6676084308032</v>
      </c>
      <c r="H8" s="6">
        <f>(27037+403698)/1000</f>
        <v>430.735</v>
      </c>
      <c r="I8" s="7">
        <f>H8/C7*100</f>
        <v>70.34406508951115</v>
      </c>
      <c r="J8" s="8">
        <f>609175/1000</f>
        <v>609.175</v>
      </c>
      <c r="K8" s="9">
        <f>J8/C7*100</f>
        <v>99.48540483337305</v>
      </c>
      <c r="L8" s="128"/>
      <c r="M8" s="110"/>
      <c r="N8" s="128"/>
      <c r="O8" s="110"/>
      <c r="P8" s="110"/>
    </row>
    <row r="9" spans="1:16" ht="18" customHeight="1">
      <c r="A9" s="112" t="s">
        <v>18</v>
      </c>
      <c r="B9" s="113">
        <v>18</v>
      </c>
      <c r="C9" s="111">
        <f>1064567/1000</f>
        <v>1064.567</v>
      </c>
      <c r="D9" s="114"/>
      <c r="E9" s="115"/>
      <c r="F9" s="10"/>
      <c r="G9" s="3"/>
      <c r="H9" s="114"/>
      <c r="I9" s="115"/>
      <c r="J9" s="10"/>
      <c r="K9" s="3"/>
      <c r="L9" s="128">
        <v>1191</v>
      </c>
      <c r="M9" s="110">
        <f>53668/1000</f>
        <v>53.668</v>
      </c>
      <c r="N9" s="128">
        <v>123</v>
      </c>
      <c r="O9" s="110">
        <f>62221/1000</f>
        <v>62.221</v>
      </c>
      <c r="P9" s="110">
        <f>688374/1000</f>
        <v>688.374</v>
      </c>
    </row>
    <row r="10" spans="1:16" ht="18" customHeight="1">
      <c r="A10" s="112"/>
      <c r="B10" s="113"/>
      <c r="C10" s="111"/>
      <c r="D10" s="6">
        <f>(817270+99297+3860)/1000</f>
        <v>920.427</v>
      </c>
      <c r="E10" s="7">
        <f>D10/C9*100</f>
        <v>86.46022279480765</v>
      </c>
      <c r="F10" s="8">
        <f>952313/1000</f>
        <v>952.313</v>
      </c>
      <c r="G10" s="9">
        <f>F10/C9*100</f>
        <v>89.45543117530413</v>
      </c>
      <c r="H10" s="6">
        <f>(42667+840309)/1000</f>
        <v>882.976</v>
      </c>
      <c r="I10" s="7">
        <f>H10/C9*100</f>
        <v>82.94226666804437</v>
      </c>
      <c r="J10" s="8">
        <f>1061416/1000</f>
        <v>1061.416</v>
      </c>
      <c r="K10" s="9">
        <f>J10/C9*100</f>
        <v>99.70401111437795</v>
      </c>
      <c r="L10" s="128"/>
      <c r="M10" s="110"/>
      <c r="N10" s="128"/>
      <c r="O10" s="110"/>
      <c r="P10" s="110"/>
    </row>
    <row r="11" spans="1:16" ht="18" customHeight="1">
      <c r="A11" s="112" t="s">
        <v>19</v>
      </c>
      <c r="B11" s="113">
        <v>54</v>
      </c>
      <c r="C11" s="111">
        <f>1099653/1000</f>
        <v>1099.653</v>
      </c>
      <c r="D11" s="114"/>
      <c r="E11" s="115"/>
      <c r="F11" s="10"/>
      <c r="G11" s="3"/>
      <c r="H11" s="114"/>
      <c r="I11" s="115"/>
      <c r="J11" s="10"/>
      <c r="K11" s="3"/>
      <c r="L11" s="128">
        <v>747</v>
      </c>
      <c r="M11" s="110">
        <f>18049/1000</f>
        <v>18.049</v>
      </c>
      <c r="N11" s="128">
        <v>56</v>
      </c>
      <c r="O11" s="110">
        <f>21285/1000</f>
        <v>21.285</v>
      </c>
      <c r="P11" s="110">
        <f>369695/1000</f>
        <v>369.695</v>
      </c>
    </row>
    <row r="12" spans="1:16" ht="18" customHeight="1">
      <c r="A12" s="112"/>
      <c r="B12" s="113"/>
      <c r="C12" s="111"/>
      <c r="D12" s="6">
        <f>(5529+26416+693212)/1000</f>
        <v>725.157</v>
      </c>
      <c r="E12" s="7">
        <f>D12/C11*100</f>
        <v>65.9441660232819</v>
      </c>
      <c r="F12" s="8">
        <f>850925/1000</f>
        <v>850.925</v>
      </c>
      <c r="G12" s="9">
        <f>F12/C11*100</f>
        <v>77.38122844206308</v>
      </c>
      <c r="H12" s="6">
        <f>(18449+590371)/1000</f>
        <v>608.82</v>
      </c>
      <c r="I12" s="7">
        <f>H12/C11*100</f>
        <v>55.36473778546506</v>
      </c>
      <c r="J12" s="8">
        <f>1071826/1000</f>
        <v>1071.826</v>
      </c>
      <c r="K12" s="9">
        <f>J12/C11*100</f>
        <v>97.46947446148921</v>
      </c>
      <c r="L12" s="128"/>
      <c r="M12" s="110"/>
      <c r="N12" s="128"/>
      <c r="O12" s="110"/>
      <c r="P12" s="110"/>
    </row>
    <row r="13" spans="1:16" ht="18" customHeight="1">
      <c r="A13" s="112" t="s">
        <v>20</v>
      </c>
      <c r="B13" s="113">
        <v>189</v>
      </c>
      <c r="C13" s="111">
        <f>1796228/1000</f>
        <v>1796.228</v>
      </c>
      <c r="D13" s="114"/>
      <c r="E13" s="115"/>
      <c r="F13" s="11"/>
      <c r="G13" s="3"/>
      <c r="H13" s="114"/>
      <c r="I13" s="115"/>
      <c r="J13" s="11"/>
      <c r="K13" s="3"/>
      <c r="L13" s="128">
        <v>1020</v>
      </c>
      <c r="M13" s="110">
        <f>15671/1000</f>
        <v>15.671</v>
      </c>
      <c r="N13" s="128">
        <v>23</v>
      </c>
      <c r="O13" s="110">
        <f>5215/1000</f>
        <v>5.215</v>
      </c>
      <c r="P13" s="110">
        <f>281055/1000</f>
        <v>281.055</v>
      </c>
    </row>
    <row r="14" spans="1:16" ht="18" customHeight="1">
      <c r="A14" s="112"/>
      <c r="B14" s="113"/>
      <c r="C14" s="111"/>
      <c r="D14" s="6">
        <f>(1033+5452+690156)/1000</f>
        <v>696.641</v>
      </c>
      <c r="E14" s="7">
        <f>D14/C13*100</f>
        <v>38.78355086325344</v>
      </c>
      <c r="F14" s="8">
        <f>1005303/1000</f>
        <v>1005.303</v>
      </c>
      <c r="G14" s="9">
        <f>F14/C13*100</f>
        <v>55.9674495665361</v>
      </c>
      <c r="H14" s="6">
        <f>(18683+539893)/1000</f>
        <v>558.576</v>
      </c>
      <c r="I14" s="7">
        <f>H14/C13*100</f>
        <v>31.09716583863518</v>
      </c>
      <c r="J14" s="8">
        <f>1658386/1000</f>
        <v>1658.386</v>
      </c>
      <c r="K14" s="9">
        <f>J14/C13*100</f>
        <v>92.3260298803938</v>
      </c>
      <c r="L14" s="128"/>
      <c r="M14" s="110"/>
      <c r="N14" s="128"/>
      <c r="O14" s="110"/>
      <c r="P14" s="110"/>
    </row>
    <row r="15" spans="1:16" ht="18" customHeight="1">
      <c r="A15" s="112" t="s">
        <v>21</v>
      </c>
      <c r="B15" s="113">
        <v>244</v>
      </c>
      <c r="C15" s="111">
        <f>2895881/1000</f>
        <v>2895.881</v>
      </c>
      <c r="D15" s="114"/>
      <c r="E15" s="115"/>
      <c r="F15" s="10"/>
      <c r="G15" s="3"/>
      <c r="H15" s="114"/>
      <c r="I15" s="115"/>
      <c r="J15" s="10"/>
      <c r="K15" s="3"/>
      <c r="L15" s="128">
        <v>1767</v>
      </c>
      <c r="M15" s="110">
        <f>33720/1000</f>
        <v>33.72</v>
      </c>
      <c r="N15" s="128">
        <v>79</v>
      </c>
      <c r="O15" s="110">
        <f>26500/1000</f>
        <v>26.5</v>
      </c>
      <c r="P15" s="110">
        <f>650750/1000</f>
        <v>650.75</v>
      </c>
    </row>
    <row r="16" spans="1:16" ht="18" customHeight="1">
      <c r="A16" s="112"/>
      <c r="B16" s="113"/>
      <c r="C16" s="111"/>
      <c r="D16" s="6">
        <f>(6562+31868+1383368)/1000</f>
        <v>1421.798</v>
      </c>
      <c r="E16" s="7">
        <f>D16/C15*100</f>
        <v>49.097252269689264</v>
      </c>
      <c r="F16" s="8">
        <f>1856228/1000</f>
        <v>1856.228</v>
      </c>
      <c r="G16" s="9">
        <f>F16/C15*100</f>
        <v>64.09890461659164</v>
      </c>
      <c r="H16" s="6">
        <f>(37132+1130264)/1000</f>
        <v>1167.396</v>
      </c>
      <c r="I16" s="7">
        <f>H16/C15*100</f>
        <v>40.31229183795881</v>
      </c>
      <c r="J16" s="8">
        <f>2730212/1000</f>
        <v>2730.212</v>
      </c>
      <c r="K16" s="9">
        <f>J16/C15*100</f>
        <v>94.2791502827637</v>
      </c>
      <c r="L16" s="128"/>
      <c r="M16" s="110"/>
      <c r="N16" s="128"/>
      <c r="O16" s="110"/>
      <c r="P16" s="110"/>
    </row>
    <row r="17" spans="1:16" s="14" customFormat="1" ht="18" customHeight="1">
      <c r="A17" s="76" t="s">
        <v>22</v>
      </c>
      <c r="B17" s="101">
        <v>262</v>
      </c>
      <c r="C17" s="98">
        <f>3960448/1000</f>
        <v>3960.448</v>
      </c>
      <c r="D17" s="81"/>
      <c r="E17" s="82"/>
      <c r="F17" s="12"/>
      <c r="G17" s="13"/>
      <c r="H17" s="81"/>
      <c r="I17" s="82"/>
      <c r="J17" s="12"/>
      <c r="K17" s="13"/>
      <c r="L17" s="99">
        <v>2958</v>
      </c>
      <c r="M17" s="100">
        <f>87388/1000</f>
        <v>87.388</v>
      </c>
      <c r="N17" s="99">
        <v>202</v>
      </c>
      <c r="O17" s="100">
        <f>88721/1000</f>
        <v>88.721</v>
      </c>
      <c r="P17" s="100">
        <f>1339124/1000</f>
        <v>1339.124</v>
      </c>
    </row>
    <row r="18" spans="1:16" s="14" customFormat="1" ht="18" customHeight="1">
      <c r="A18" s="76"/>
      <c r="B18" s="101"/>
      <c r="C18" s="98"/>
      <c r="D18" s="15">
        <f>(10422+131165+2200638)/1000</f>
        <v>2342.225</v>
      </c>
      <c r="E18" s="16">
        <f>D18/C17*100</f>
        <v>59.14040532788209</v>
      </c>
      <c r="F18" s="17">
        <f>2808541/1000</f>
        <v>2808.541</v>
      </c>
      <c r="G18" s="18">
        <f>F18/C17*100</f>
        <v>70.9147298487444</v>
      </c>
      <c r="H18" s="15">
        <f>(79799+1970573)/1000</f>
        <v>2050.372</v>
      </c>
      <c r="I18" s="16">
        <f>H18/C17*100</f>
        <v>51.77121376167545</v>
      </c>
      <c r="J18" s="17">
        <f>3791628/1000</f>
        <v>3791.628</v>
      </c>
      <c r="K18" s="18">
        <f>J18/C17*100</f>
        <v>95.73735092595585</v>
      </c>
      <c r="L18" s="99"/>
      <c r="M18" s="100"/>
      <c r="N18" s="99"/>
      <c r="O18" s="100"/>
      <c r="P18" s="100"/>
    </row>
    <row r="19" spans="1:16" s="14" customFormat="1" ht="18" customHeight="1">
      <c r="A19" s="76" t="s">
        <v>23</v>
      </c>
      <c r="B19" s="101">
        <v>257</v>
      </c>
      <c r="C19" s="98">
        <f>3508207/1000</f>
        <v>3508.207</v>
      </c>
      <c r="D19" s="81"/>
      <c r="E19" s="82"/>
      <c r="F19" s="12"/>
      <c r="G19" s="13"/>
      <c r="H19" s="81"/>
      <c r="I19" s="82"/>
      <c r="J19" s="12"/>
      <c r="K19" s="13"/>
      <c r="L19" s="99">
        <v>2303</v>
      </c>
      <c r="M19" s="100">
        <f>52382/1000</f>
        <v>52.382</v>
      </c>
      <c r="N19" s="99">
        <v>160</v>
      </c>
      <c r="O19" s="100">
        <f>70714/1000</f>
        <v>70.714</v>
      </c>
      <c r="P19" s="100">
        <f>999564/1000</f>
        <v>999.564</v>
      </c>
    </row>
    <row r="20" spans="1:16" s="14" customFormat="1" ht="18" customHeight="1">
      <c r="A20" s="76"/>
      <c r="B20" s="101"/>
      <c r="C20" s="98"/>
      <c r="D20" s="15">
        <f>(7284+41691+1841009)/1000</f>
        <v>1889.984</v>
      </c>
      <c r="E20" s="16">
        <f>D20/C19*100</f>
        <v>53.873217857441134</v>
      </c>
      <c r="F20" s="17">
        <f>2356300/1000</f>
        <v>2356.3</v>
      </c>
      <c r="G20" s="18">
        <f>F20/C19*100</f>
        <v>67.1653639594243</v>
      </c>
      <c r="H20" s="15">
        <f>(64169+1533962)/1000</f>
        <v>1598.131</v>
      </c>
      <c r="I20" s="16">
        <f>H20/C19*100</f>
        <v>45.55406793270751</v>
      </c>
      <c r="J20" s="17">
        <f>3339387/1000</f>
        <v>3339.387</v>
      </c>
      <c r="K20" s="18">
        <f>J20/C19*100</f>
        <v>95.1878552206298</v>
      </c>
      <c r="L20" s="99"/>
      <c r="M20" s="100"/>
      <c r="N20" s="99"/>
      <c r="O20" s="100"/>
      <c r="P20" s="100"/>
    </row>
    <row r="21" spans="1:16" s="14" customFormat="1" ht="18" customHeight="1">
      <c r="A21" s="76" t="s">
        <v>24</v>
      </c>
      <c r="B21" s="101">
        <v>1065</v>
      </c>
      <c r="C21" s="98">
        <f>1554214/1000</f>
        <v>1554.214</v>
      </c>
      <c r="D21" s="81"/>
      <c r="E21" s="82"/>
      <c r="F21" s="12"/>
      <c r="G21" s="13"/>
      <c r="H21" s="81"/>
      <c r="I21" s="82"/>
      <c r="J21" s="12"/>
      <c r="K21" s="13"/>
      <c r="L21" s="99">
        <v>1134</v>
      </c>
      <c r="M21" s="100">
        <f>19256/1000</f>
        <v>19.256</v>
      </c>
      <c r="N21" s="99">
        <v>21</v>
      </c>
      <c r="O21" s="100">
        <f>4840/1000</f>
        <v>4.84</v>
      </c>
      <c r="P21" s="100">
        <f>276003/1000</f>
        <v>276.003</v>
      </c>
    </row>
    <row r="22" spans="1:16" s="14" customFormat="1" ht="18" customHeight="1">
      <c r="A22" s="76"/>
      <c r="B22" s="101"/>
      <c r="C22" s="98"/>
      <c r="D22" s="15">
        <f>(5567+23035+523142)/1000</f>
        <v>551.744</v>
      </c>
      <c r="E22" s="16">
        <f>D22/C21*100</f>
        <v>35.49987324782817</v>
      </c>
      <c r="F22" s="17">
        <f>1220472/1000</f>
        <v>1220.472</v>
      </c>
      <c r="G22" s="18">
        <f>F22/C21*100</f>
        <v>78.52663790185908</v>
      </c>
      <c r="H22" s="15">
        <f>(47433+252742)/1000</f>
        <v>300.175</v>
      </c>
      <c r="I22" s="16">
        <f>H22/C21*100</f>
        <v>19.31362090419981</v>
      </c>
      <c r="J22" s="17">
        <f>1492614/1000</f>
        <v>1492.614</v>
      </c>
      <c r="K22" s="18">
        <f>J22/C21*100</f>
        <v>96.03658183493393</v>
      </c>
      <c r="L22" s="99"/>
      <c r="M22" s="100"/>
      <c r="N22" s="99"/>
      <c r="O22" s="100"/>
      <c r="P22" s="100"/>
    </row>
    <row r="23" spans="1:16" s="14" customFormat="1" ht="18" customHeight="1">
      <c r="A23" s="76" t="s">
        <v>25</v>
      </c>
      <c r="B23" s="101">
        <v>1393</v>
      </c>
      <c r="C23" s="98">
        <f>1647557/1000</f>
        <v>1647.557</v>
      </c>
      <c r="D23" s="107"/>
      <c r="E23" s="108"/>
      <c r="F23" s="12"/>
      <c r="G23" s="13"/>
      <c r="H23" s="107"/>
      <c r="I23" s="108"/>
      <c r="J23" s="12"/>
      <c r="K23" s="13"/>
      <c r="L23" s="99">
        <v>1216</v>
      </c>
      <c r="M23" s="100">
        <f>12219/1000</f>
        <v>12.219</v>
      </c>
      <c r="N23" s="99">
        <v>5</v>
      </c>
      <c r="O23" s="100">
        <f>686/1000</f>
        <v>0.686</v>
      </c>
      <c r="P23" s="100">
        <f>65593/1000</f>
        <v>65.593</v>
      </c>
    </row>
    <row r="24" spans="1:16" s="14" customFormat="1" ht="18" customHeight="1">
      <c r="A24" s="76"/>
      <c r="B24" s="101"/>
      <c r="C24" s="98"/>
      <c r="D24" s="15">
        <f>(229+2216+216203)/1000</f>
        <v>218.648</v>
      </c>
      <c r="E24" s="16">
        <f>D24/C23*100</f>
        <v>13.271043126277268</v>
      </c>
      <c r="F24" s="17">
        <f>1032929/1000</f>
        <v>1032.929</v>
      </c>
      <c r="G24" s="18">
        <f>F24/C23*100</f>
        <v>62.69458355613797</v>
      </c>
      <c r="H24" s="15">
        <f>(92625+50598)/1000</f>
        <v>143.223</v>
      </c>
      <c r="I24" s="16">
        <f>H24/C23*100</f>
        <v>8.693052804849847</v>
      </c>
      <c r="J24" s="17">
        <f>1535053/1000</f>
        <v>1535.053</v>
      </c>
      <c r="K24" s="18">
        <f>J24/C23*100</f>
        <v>93.17146538784394</v>
      </c>
      <c r="L24" s="99"/>
      <c r="M24" s="100"/>
      <c r="N24" s="99"/>
      <c r="O24" s="100"/>
      <c r="P24" s="100"/>
    </row>
    <row r="25" spans="1:16" s="14" customFormat="1" ht="18" customHeight="1">
      <c r="A25" s="76" t="s">
        <v>26</v>
      </c>
      <c r="B25" s="101">
        <v>2458</v>
      </c>
      <c r="C25" s="98">
        <f>3201771/1000</f>
        <v>3201.771</v>
      </c>
      <c r="D25" s="81"/>
      <c r="E25" s="82"/>
      <c r="F25" s="12"/>
      <c r="G25" s="13"/>
      <c r="H25" s="81"/>
      <c r="I25" s="82"/>
      <c r="J25" s="12"/>
      <c r="K25" s="13"/>
      <c r="L25" s="99">
        <v>2350</v>
      </c>
      <c r="M25" s="100">
        <f>31475/1000</f>
        <v>31.475</v>
      </c>
      <c r="N25" s="99">
        <v>26</v>
      </c>
      <c r="O25" s="100">
        <f>5526/1000</f>
        <v>5.526</v>
      </c>
      <c r="P25" s="100">
        <f>341596/1000</f>
        <v>341.596</v>
      </c>
    </row>
    <row r="26" spans="1:16" s="14" customFormat="1" ht="18" customHeight="1">
      <c r="A26" s="76"/>
      <c r="B26" s="101"/>
      <c r="C26" s="98"/>
      <c r="D26" s="15">
        <f>(5796+25251+739345)/1000</f>
        <v>770.392</v>
      </c>
      <c r="E26" s="16">
        <f>D26/C25*100</f>
        <v>24.061433500397126</v>
      </c>
      <c r="F26" s="17">
        <f>2253401/1000</f>
        <v>2253.401</v>
      </c>
      <c r="G26" s="18">
        <f>F26/C25*100</f>
        <v>70.37983041260601</v>
      </c>
      <c r="H26" s="15">
        <f>(140058+303340)/1000</f>
        <v>443.398</v>
      </c>
      <c r="I26" s="16">
        <f>H26/C25*100</f>
        <v>13.848523207937108</v>
      </c>
      <c r="J26" s="17">
        <f>3027667/1000</f>
        <v>3027.667</v>
      </c>
      <c r="K26" s="18">
        <f>J26/C25*100</f>
        <v>94.56225944953589</v>
      </c>
      <c r="L26" s="99"/>
      <c r="M26" s="100"/>
      <c r="N26" s="99"/>
      <c r="O26" s="100"/>
      <c r="P26" s="100"/>
    </row>
    <row r="27" spans="1:16" s="14" customFormat="1" ht="18" customHeight="1">
      <c r="A27" s="76" t="s">
        <v>30</v>
      </c>
      <c r="B27" s="101">
        <v>25585</v>
      </c>
      <c r="C27" s="98">
        <f>10714056/1000</f>
        <v>10714.056</v>
      </c>
      <c r="D27" s="81"/>
      <c r="E27" s="82"/>
      <c r="F27" s="12"/>
      <c r="G27" s="13"/>
      <c r="H27" s="81"/>
      <c r="I27" s="82"/>
      <c r="J27" s="12"/>
      <c r="K27" s="13"/>
      <c r="L27" s="99">
        <v>6705</v>
      </c>
      <c r="M27" s="100">
        <f>58515/1000</f>
        <v>58.515</v>
      </c>
      <c r="N27" s="99">
        <v>32</v>
      </c>
      <c r="O27" s="100">
        <f>6143/1000</f>
        <v>6.143</v>
      </c>
      <c r="P27" s="100">
        <f>180397/1000</f>
        <v>180.397</v>
      </c>
    </row>
    <row r="28" spans="1:16" s="14" customFormat="1" ht="18" customHeight="1">
      <c r="A28" s="76"/>
      <c r="B28" s="101"/>
      <c r="C28" s="98"/>
      <c r="D28" s="15">
        <f>(2224+10833+671877)/1000</f>
        <v>684.934</v>
      </c>
      <c r="E28" s="16">
        <f>D28/C27*100</f>
        <v>6.392854396131586</v>
      </c>
      <c r="F28" s="17">
        <f>4577419/1000</f>
        <v>4577.419</v>
      </c>
      <c r="G28" s="18">
        <f>F28/C27*100</f>
        <v>42.72349332503022</v>
      </c>
      <c r="H28" s="15">
        <f>(1121497+196094)/1000</f>
        <v>1317.591</v>
      </c>
      <c r="I28" s="16">
        <f>H28/C27*100</f>
        <v>12.297779664396003</v>
      </c>
      <c r="J28" s="17">
        <f>8673528/1000</f>
        <v>8673.528</v>
      </c>
      <c r="K28" s="18">
        <f>J28/C27*100</f>
        <v>80.95466366798904</v>
      </c>
      <c r="L28" s="99"/>
      <c r="M28" s="100"/>
      <c r="N28" s="99"/>
      <c r="O28" s="100"/>
      <c r="P28" s="100"/>
    </row>
    <row r="29" spans="1:16" s="14" customFormat="1" ht="18" customHeight="1">
      <c r="A29" s="76" t="s">
        <v>27</v>
      </c>
      <c r="B29" s="101">
        <v>28043</v>
      </c>
      <c r="C29" s="98">
        <f>13915827/1000</f>
        <v>13915.827</v>
      </c>
      <c r="D29" s="81"/>
      <c r="E29" s="82"/>
      <c r="F29" s="19"/>
      <c r="G29" s="13"/>
      <c r="H29" s="81"/>
      <c r="I29" s="82"/>
      <c r="J29" s="19"/>
      <c r="K29" s="13"/>
      <c r="L29" s="99">
        <v>9055</v>
      </c>
      <c r="M29" s="100">
        <f>89990/1000</f>
        <v>89.99</v>
      </c>
      <c r="N29" s="99">
        <v>58</v>
      </c>
      <c r="O29" s="100">
        <f>11669/1000</f>
        <v>11.669</v>
      </c>
      <c r="P29" s="100">
        <f>521993/1000</f>
        <v>521.993</v>
      </c>
    </row>
    <row r="30" spans="1:16" s="14" customFormat="1" ht="18" customHeight="1">
      <c r="A30" s="76"/>
      <c r="B30" s="101"/>
      <c r="C30" s="98"/>
      <c r="D30" s="15">
        <f>(8020+36084+1411222)/1000</f>
        <v>1455.326</v>
      </c>
      <c r="E30" s="16">
        <f>D30/C29*100</f>
        <v>10.45806332602439</v>
      </c>
      <c r="F30" s="17">
        <f>6830820/1000</f>
        <v>6830.82</v>
      </c>
      <c r="G30" s="18">
        <f>F30/C29*100</f>
        <v>49.086698189047624</v>
      </c>
      <c r="H30" s="15">
        <f>(1261555+499434)/1000</f>
        <v>1760.989</v>
      </c>
      <c r="I30" s="16">
        <f>H30/C29*100</f>
        <v>12.654576691705063</v>
      </c>
      <c r="J30" s="17">
        <f>11701195/1000</f>
        <v>11701.195</v>
      </c>
      <c r="K30" s="18">
        <f>J30/C29*100</f>
        <v>84.08551644109976</v>
      </c>
      <c r="L30" s="99"/>
      <c r="M30" s="100"/>
      <c r="N30" s="99"/>
      <c r="O30" s="100"/>
      <c r="P30" s="100"/>
    </row>
    <row r="31" spans="1:16" s="14" customFormat="1" ht="18" customHeight="1">
      <c r="A31" s="76" t="s">
        <v>28</v>
      </c>
      <c r="B31" s="101">
        <f>SUM(B17,B29)</f>
        <v>28305</v>
      </c>
      <c r="C31" s="98">
        <f>17876275/1000</f>
        <v>17876.275</v>
      </c>
      <c r="D31" s="81"/>
      <c r="E31" s="82"/>
      <c r="F31" s="19"/>
      <c r="G31" s="13"/>
      <c r="H31" s="81"/>
      <c r="I31" s="82"/>
      <c r="J31" s="19"/>
      <c r="K31" s="13"/>
      <c r="L31" s="99">
        <f>SUM(L29,L17)</f>
        <v>12013</v>
      </c>
      <c r="M31" s="100">
        <f>177378/1000</f>
        <v>177.378</v>
      </c>
      <c r="N31" s="99">
        <f>SUM(N29,N17)</f>
        <v>260</v>
      </c>
      <c r="O31" s="100">
        <f>100390/1000</f>
        <v>100.39</v>
      </c>
      <c r="P31" s="100">
        <f>1861117/1000</f>
        <v>1861.117</v>
      </c>
    </row>
    <row r="32" spans="1:16" s="14" customFormat="1" ht="18" customHeight="1">
      <c r="A32" s="76"/>
      <c r="B32" s="101"/>
      <c r="C32" s="98"/>
      <c r="D32" s="15">
        <f>(18442+167249+3611860)/1000</f>
        <v>3797.551</v>
      </c>
      <c r="E32" s="16">
        <f>D32/C31*100</f>
        <v>21.243525287007497</v>
      </c>
      <c r="F32" s="17">
        <f>9639361/1000</f>
        <v>9639.361</v>
      </c>
      <c r="G32" s="18">
        <f>F32/C31*100</f>
        <v>53.9226488739964</v>
      </c>
      <c r="H32" s="15">
        <f>(1341354+2470007)/1000</f>
        <v>3811.361</v>
      </c>
      <c r="I32" s="16">
        <f>H32/C31*100</f>
        <v>21.320778517895924</v>
      </c>
      <c r="J32" s="17">
        <f>15492823/1000</f>
        <v>15492.823</v>
      </c>
      <c r="K32" s="18">
        <f>J32/C31*100</f>
        <v>86.66695382567117</v>
      </c>
      <c r="L32" s="99"/>
      <c r="M32" s="100"/>
      <c r="N32" s="99"/>
      <c r="O32" s="100"/>
      <c r="P32" s="100"/>
    </row>
    <row r="33" spans="1:16" ht="14.25" customHeight="1">
      <c r="A33" s="20" t="s">
        <v>31</v>
      </c>
      <c r="B33" s="21"/>
      <c r="C33" s="22"/>
      <c r="D33" s="23"/>
      <c r="E33" s="24"/>
      <c r="F33" s="23"/>
      <c r="G33" s="24"/>
      <c r="H33" s="23"/>
      <c r="I33" s="24"/>
      <c r="J33" s="23"/>
      <c r="K33" s="24"/>
      <c r="L33" s="25"/>
      <c r="M33" s="26"/>
      <c r="N33" s="25"/>
      <c r="O33" s="26"/>
      <c r="P33" s="26"/>
    </row>
    <row r="34" ht="13.5">
      <c r="A34" s="20" t="s">
        <v>32</v>
      </c>
    </row>
    <row r="35" ht="13.5">
      <c r="A35" s="20" t="s">
        <v>33</v>
      </c>
    </row>
    <row r="36" ht="13.5">
      <c r="A36" s="20" t="s">
        <v>34</v>
      </c>
    </row>
    <row r="37" ht="13.5">
      <c r="A37" s="20" t="s">
        <v>35</v>
      </c>
    </row>
    <row r="38" ht="13.5">
      <c r="A38" s="20"/>
    </row>
  </sheetData>
  <sheetProtection/>
  <mergeCells count="158">
    <mergeCell ref="O31:O32"/>
    <mergeCell ref="P31:P32"/>
    <mergeCell ref="N29:N30"/>
    <mergeCell ref="P29:P30"/>
    <mergeCell ref="O29:O30"/>
    <mergeCell ref="N31:N32"/>
    <mergeCell ref="A31:A32"/>
    <mergeCell ref="B31:B32"/>
    <mergeCell ref="C31:C32"/>
    <mergeCell ref="D31:E31"/>
    <mergeCell ref="M31:M32"/>
    <mergeCell ref="H31:I31"/>
    <mergeCell ref="L31:L32"/>
    <mergeCell ref="P27:P28"/>
    <mergeCell ref="N27:N28"/>
    <mergeCell ref="A29:A30"/>
    <mergeCell ref="B29:B30"/>
    <mergeCell ref="C29:C30"/>
    <mergeCell ref="D29:E29"/>
    <mergeCell ref="H27:I27"/>
    <mergeCell ref="L27:L28"/>
    <mergeCell ref="M29:M30"/>
    <mergeCell ref="A27:A28"/>
    <mergeCell ref="B27:B28"/>
    <mergeCell ref="C27:C28"/>
    <mergeCell ref="D27:E27"/>
    <mergeCell ref="M27:M28"/>
    <mergeCell ref="H29:I29"/>
    <mergeCell ref="L29:L30"/>
    <mergeCell ref="O27:O28"/>
    <mergeCell ref="O23:O24"/>
    <mergeCell ref="N25:N26"/>
    <mergeCell ref="P23:P24"/>
    <mergeCell ref="A25:A26"/>
    <mergeCell ref="B25:B26"/>
    <mergeCell ref="C25:C26"/>
    <mergeCell ref="D25:E25"/>
    <mergeCell ref="H25:I25"/>
    <mergeCell ref="L25:L26"/>
    <mergeCell ref="M25:M26"/>
    <mergeCell ref="P25:P26"/>
    <mergeCell ref="O25:O26"/>
    <mergeCell ref="O21:O22"/>
    <mergeCell ref="P21:P22"/>
    <mergeCell ref="A23:A24"/>
    <mergeCell ref="B23:B24"/>
    <mergeCell ref="C23:C24"/>
    <mergeCell ref="D23:E23"/>
    <mergeCell ref="H23:I23"/>
    <mergeCell ref="L23:L24"/>
    <mergeCell ref="M23:M24"/>
    <mergeCell ref="N23:N24"/>
    <mergeCell ref="O19:O20"/>
    <mergeCell ref="P19:P20"/>
    <mergeCell ref="A21:A22"/>
    <mergeCell ref="B21:B22"/>
    <mergeCell ref="C21:C22"/>
    <mergeCell ref="D21:E21"/>
    <mergeCell ref="H21:I21"/>
    <mergeCell ref="L21:L22"/>
    <mergeCell ref="M21:M22"/>
    <mergeCell ref="N21:N22"/>
    <mergeCell ref="O17:O18"/>
    <mergeCell ref="P17:P18"/>
    <mergeCell ref="A19:A20"/>
    <mergeCell ref="B19:B20"/>
    <mergeCell ref="C19:C20"/>
    <mergeCell ref="D19:E19"/>
    <mergeCell ref="H19:I19"/>
    <mergeCell ref="L19:L20"/>
    <mergeCell ref="M19:M20"/>
    <mergeCell ref="N19:N20"/>
    <mergeCell ref="O15:O16"/>
    <mergeCell ref="P15:P16"/>
    <mergeCell ref="A17:A18"/>
    <mergeCell ref="B17:B18"/>
    <mergeCell ref="C17:C18"/>
    <mergeCell ref="D17:E17"/>
    <mergeCell ref="H17:I17"/>
    <mergeCell ref="L17:L18"/>
    <mergeCell ref="M17:M18"/>
    <mergeCell ref="N17:N18"/>
    <mergeCell ref="O13:O14"/>
    <mergeCell ref="P13:P14"/>
    <mergeCell ref="A15:A16"/>
    <mergeCell ref="B15:B16"/>
    <mergeCell ref="C15:C16"/>
    <mergeCell ref="D15:E15"/>
    <mergeCell ref="H15:I15"/>
    <mergeCell ref="L15:L16"/>
    <mergeCell ref="M15:M16"/>
    <mergeCell ref="N15:N16"/>
    <mergeCell ref="O11:O12"/>
    <mergeCell ref="P11:P12"/>
    <mergeCell ref="A13:A14"/>
    <mergeCell ref="B13:B14"/>
    <mergeCell ref="C13:C14"/>
    <mergeCell ref="D13:E13"/>
    <mergeCell ref="H13:I13"/>
    <mergeCell ref="A7:A8"/>
    <mergeCell ref="L13:L14"/>
    <mergeCell ref="M13:M14"/>
    <mergeCell ref="N13:N14"/>
    <mergeCell ref="O9:O10"/>
    <mergeCell ref="P9:P10"/>
    <mergeCell ref="A11:A12"/>
    <mergeCell ref="B11:B12"/>
    <mergeCell ref="C11:C12"/>
    <mergeCell ref="D11:E11"/>
    <mergeCell ref="M11:M12"/>
    <mergeCell ref="N11:N12"/>
    <mergeCell ref="L7:L8"/>
    <mergeCell ref="M7:M8"/>
    <mergeCell ref="N7:N8"/>
    <mergeCell ref="A9:A10"/>
    <mergeCell ref="B9:B10"/>
    <mergeCell ref="C9:C10"/>
    <mergeCell ref="D9:E9"/>
    <mergeCell ref="H9:I9"/>
    <mergeCell ref="B7:B8"/>
    <mergeCell ref="C7:C8"/>
    <mergeCell ref="D7:E7"/>
    <mergeCell ref="H7:I7"/>
    <mergeCell ref="C5:C6"/>
    <mergeCell ref="L11:L12"/>
    <mergeCell ref="L5:L6"/>
    <mergeCell ref="L9:L10"/>
    <mergeCell ref="H5:K5"/>
    <mergeCell ref="H11:I11"/>
    <mergeCell ref="H2:K2"/>
    <mergeCell ref="M9:M10"/>
    <mergeCell ref="N9:N10"/>
    <mergeCell ref="O5:O6"/>
    <mergeCell ref="P5:P6"/>
    <mergeCell ref="H4:I4"/>
    <mergeCell ref="O7:O8"/>
    <mergeCell ref="P7:P8"/>
    <mergeCell ref="M5:M6"/>
    <mergeCell ref="N5:N6"/>
    <mergeCell ref="A1:P1"/>
    <mergeCell ref="L2:M2"/>
    <mergeCell ref="N2:O2"/>
    <mergeCell ref="L3:L4"/>
    <mergeCell ref="M3:M4"/>
    <mergeCell ref="N3:N4"/>
    <mergeCell ref="O3:O4"/>
    <mergeCell ref="D3:E3"/>
    <mergeCell ref="H3:I3"/>
    <mergeCell ref="J3:K4"/>
    <mergeCell ref="A5:A6"/>
    <mergeCell ref="B5:B6"/>
    <mergeCell ref="A2:A4"/>
    <mergeCell ref="B2:B4"/>
    <mergeCell ref="C2:C4"/>
    <mergeCell ref="D2:G2"/>
    <mergeCell ref="D4:E4"/>
    <mergeCell ref="F3:G4"/>
    <mergeCell ref="D5:G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:B3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:B3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E9" sqref="E9"/>
    </sheetView>
  </sheetViews>
  <sheetFormatPr defaultColWidth="8.875" defaultRowHeight="13.5"/>
  <cols>
    <col min="1" max="1" width="14.25390625" style="14" customWidth="1"/>
    <col min="2" max="2" width="8.875" style="32" customWidth="1"/>
    <col min="3" max="3" width="9.875" style="36" customWidth="1"/>
    <col min="4" max="4" width="14.75390625" style="36" customWidth="1"/>
    <col min="5" max="5" width="13.125" style="32" customWidth="1"/>
    <col min="6" max="6" width="10.75390625" style="36" customWidth="1"/>
    <col min="7" max="7" width="9.75390625" style="32" customWidth="1"/>
    <col min="8" max="8" width="14.75390625" style="36" customWidth="1"/>
    <col min="9" max="9" width="13.125" style="32" customWidth="1"/>
    <col min="10" max="10" width="10.75390625" style="36" customWidth="1"/>
    <col min="11" max="11" width="10.25390625" style="32" customWidth="1"/>
    <col min="12" max="12" width="8.875" style="32" customWidth="1"/>
    <col min="13" max="13" width="7.75390625" style="36" bestFit="1" customWidth="1"/>
    <col min="14" max="14" width="8.875" style="32" customWidth="1"/>
    <col min="15" max="15" width="9.00390625" style="36" bestFit="1" customWidth="1"/>
    <col min="16" max="16" width="9.625" style="36" bestFit="1" customWidth="1"/>
    <col min="17" max="16384" width="8.875" style="32" customWidth="1"/>
  </cols>
  <sheetData>
    <row r="1" spans="1:16" ht="36" customHeight="1">
      <c r="A1" s="75" t="s">
        <v>95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5.5" customHeight="1">
      <c r="A2" s="76" t="s">
        <v>0</v>
      </c>
      <c r="B2" s="76" t="s">
        <v>1</v>
      </c>
      <c r="C2" s="78" t="s">
        <v>2</v>
      </c>
      <c r="D2" s="80" t="s">
        <v>3</v>
      </c>
      <c r="E2" s="80"/>
      <c r="F2" s="80"/>
      <c r="G2" s="80"/>
      <c r="H2" s="80" t="s">
        <v>4</v>
      </c>
      <c r="I2" s="80"/>
      <c r="J2" s="80"/>
      <c r="K2" s="80"/>
      <c r="L2" s="76" t="s">
        <v>5</v>
      </c>
      <c r="M2" s="76"/>
      <c r="N2" s="76" t="s">
        <v>6</v>
      </c>
      <c r="O2" s="76"/>
      <c r="P2" s="27" t="s">
        <v>7</v>
      </c>
    </row>
    <row r="3" spans="1:16" ht="13.5">
      <c r="A3" s="76"/>
      <c r="B3" s="76"/>
      <c r="C3" s="79"/>
      <c r="D3" s="81"/>
      <c r="E3" s="82"/>
      <c r="F3" s="82" t="s">
        <v>8</v>
      </c>
      <c r="G3" s="83"/>
      <c r="H3" s="86"/>
      <c r="I3" s="87"/>
      <c r="J3" s="82" t="s">
        <v>9</v>
      </c>
      <c r="K3" s="83"/>
      <c r="L3" s="88" t="s">
        <v>10</v>
      </c>
      <c r="M3" s="80" t="s">
        <v>11</v>
      </c>
      <c r="N3" s="76" t="s">
        <v>10</v>
      </c>
      <c r="O3" s="80" t="s">
        <v>11</v>
      </c>
      <c r="P3" s="28" t="s">
        <v>12</v>
      </c>
    </row>
    <row r="4" spans="1:16" ht="13.5">
      <c r="A4" s="76"/>
      <c r="B4" s="77"/>
      <c r="C4" s="79"/>
      <c r="D4" s="81" t="s">
        <v>13</v>
      </c>
      <c r="E4" s="83"/>
      <c r="F4" s="84"/>
      <c r="G4" s="85"/>
      <c r="H4" s="81" t="s">
        <v>14</v>
      </c>
      <c r="I4" s="83"/>
      <c r="J4" s="84"/>
      <c r="K4" s="85"/>
      <c r="L4" s="89"/>
      <c r="M4" s="78"/>
      <c r="N4" s="77"/>
      <c r="O4" s="78"/>
      <c r="P4" s="29" t="s">
        <v>15</v>
      </c>
    </row>
    <row r="5" spans="1:16" ht="18" customHeight="1">
      <c r="A5" s="64" t="s">
        <v>52</v>
      </c>
      <c r="B5" s="38"/>
      <c r="C5" s="41"/>
      <c r="D5" s="66"/>
      <c r="E5" s="73"/>
      <c r="F5" s="73"/>
      <c r="G5" s="74"/>
      <c r="H5" s="66"/>
      <c r="I5" s="73"/>
      <c r="J5" s="73"/>
      <c r="K5" s="73"/>
      <c r="L5" s="38"/>
      <c r="M5" s="41"/>
      <c r="N5" s="38"/>
      <c r="O5" s="41"/>
      <c r="P5" s="41"/>
    </row>
    <row r="6" spans="1:16" ht="18" customHeight="1">
      <c r="A6" s="65" t="s">
        <v>53</v>
      </c>
      <c r="B6" s="44">
        <v>6</v>
      </c>
      <c r="C6" s="45">
        <f>469029/1000</f>
        <v>469.029</v>
      </c>
      <c r="D6" s="53">
        <f>469029/1000</f>
        <v>469.029</v>
      </c>
      <c r="E6" s="54">
        <f>D6/C6*100</f>
        <v>100</v>
      </c>
      <c r="F6" s="55">
        <f>469029/1000</f>
        <v>469.029</v>
      </c>
      <c r="G6" s="56">
        <f>F6/C6*100</f>
        <v>100</v>
      </c>
      <c r="H6" s="57">
        <f>469029/1000</f>
        <v>469.029</v>
      </c>
      <c r="I6" s="54">
        <f>H6/C6*100</f>
        <v>100</v>
      </c>
      <c r="J6" s="55">
        <f>469029/1000</f>
        <v>469.029</v>
      </c>
      <c r="K6" s="56">
        <f>J6/C6*100</f>
        <v>100</v>
      </c>
      <c r="L6" s="44">
        <v>640</v>
      </c>
      <c r="M6" s="45">
        <f>40228/1000</f>
        <v>40.228</v>
      </c>
      <c r="N6" s="44">
        <v>52</v>
      </c>
      <c r="O6" s="45">
        <f>28499/1000</f>
        <v>28.499</v>
      </c>
      <c r="P6" s="45">
        <f>341416/1000</f>
        <v>341.416</v>
      </c>
    </row>
    <row r="7" spans="1:16" ht="18" customHeight="1">
      <c r="A7" s="27" t="s">
        <v>52</v>
      </c>
      <c r="B7" s="38"/>
      <c r="C7" s="41"/>
      <c r="D7" s="40"/>
      <c r="E7" s="61"/>
      <c r="F7" s="40"/>
      <c r="G7" s="62"/>
      <c r="H7" s="40"/>
      <c r="I7" s="61"/>
      <c r="J7" s="40"/>
      <c r="K7" s="61"/>
      <c r="L7" s="38"/>
      <c r="M7" s="41"/>
      <c r="N7" s="38"/>
      <c r="O7" s="41"/>
      <c r="P7" s="41"/>
    </row>
    <row r="8" spans="1:16" ht="18" customHeight="1">
      <c r="A8" s="70" t="s">
        <v>62</v>
      </c>
      <c r="B8" s="44">
        <v>13</v>
      </c>
      <c r="C8" s="45">
        <f>614686/1000</f>
        <v>614.686</v>
      </c>
      <c r="D8" s="46">
        <f>504149/1000</f>
        <v>504.149</v>
      </c>
      <c r="E8" s="54">
        <f>D8/C8*100</f>
        <v>82.01732266555607</v>
      </c>
      <c r="F8" s="48">
        <f>545105/1000</f>
        <v>545.105</v>
      </c>
      <c r="G8" s="49">
        <f>F8/C8*100</f>
        <v>88.68023673875767</v>
      </c>
      <c r="H8" s="50">
        <f>463478/1000</f>
        <v>463.478</v>
      </c>
      <c r="I8" s="54">
        <f>H8/C8*100</f>
        <v>75.40077372837514</v>
      </c>
      <c r="J8" s="48">
        <f>612344/1000</f>
        <v>612.344</v>
      </c>
      <c r="K8" s="56">
        <f>J8/C8*100</f>
        <v>99.61899246119157</v>
      </c>
      <c r="L8" s="44">
        <v>568</v>
      </c>
      <c r="M8" s="45">
        <f>20846/1000</f>
        <v>20.846</v>
      </c>
      <c r="N8" s="44">
        <v>88</v>
      </c>
      <c r="O8" s="45">
        <f>49616/1000</f>
        <v>49.616</v>
      </c>
      <c r="P8" s="45">
        <f>366814/1000</f>
        <v>366.814</v>
      </c>
    </row>
    <row r="9" spans="1:16" ht="18" customHeight="1">
      <c r="A9" s="27" t="s">
        <v>52</v>
      </c>
      <c r="B9" s="38"/>
      <c r="C9" s="41"/>
      <c r="D9" s="40"/>
      <c r="E9" s="42"/>
      <c r="F9" s="40"/>
      <c r="G9" s="52"/>
      <c r="H9" s="40"/>
      <c r="I9" s="42"/>
      <c r="J9" s="40"/>
      <c r="K9" s="42"/>
      <c r="L9" s="38"/>
      <c r="M9" s="41"/>
      <c r="N9" s="38"/>
      <c r="O9" s="41"/>
      <c r="P9" s="41"/>
    </row>
    <row r="10" spans="1:16" ht="18" customHeight="1">
      <c r="A10" s="29" t="s">
        <v>55</v>
      </c>
      <c r="B10" s="44">
        <f>B6+B8-1</f>
        <v>18</v>
      </c>
      <c r="C10" s="45">
        <f>C6+C8</f>
        <v>1083.7150000000001</v>
      </c>
      <c r="D10" s="53">
        <f>D6+D8</f>
        <v>973.178</v>
      </c>
      <c r="E10" s="54">
        <f>D10/C10*100</f>
        <v>89.80017809110328</v>
      </c>
      <c r="F10" s="55">
        <f>F6+F8</f>
        <v>1014.134</v>
      </c>
      <c r="G10" s="56">
        <f>F10/C10*100</f>
        <v>93.57940048813572</v>
      </c>
      <c r="H10" s="57">
        <f>H6+H8</f>
        <v>932.5070000000001</v>
      </c>
      <c r="I10" s="54">
        <f>H10/C10*100</f>
        <v>86.04725412124036</v>
      </c>
      <c r="J10" s="55">
        <f>J6+J8</f>
        <v>1081.373</v>
      </c>
      <c r="K10" s="56">
        <f>J10/C10*100</f>
        <v>99.7838915212948</v>
      </c>
      <c r="L10" s="44">
        <f>L6+L8</f>
        <v>1208</v>
      </c>
      <c r="M10" s="45">
        <f>M6+M8</f>
        <v>61.074</v>
      </c>
      <c r="N10" s="44">
        <f>N6+N8</f>
        <v>140</v>
      </c>
      <c r="O10" s="45">
        <f>O6+O8</f>
        <v>78.115</v>
      </c>
      <c r="P10" s="45">
        <f>P6+P8</f>
        <v>708.23</v>
      </c>
    </row>
    <row r="11" spans="1:16" ht="18" customHeight="1">
      <c r="A11" s="91" t="s">
        <v>19</v>
      </c>
      <c r="B11" s="38"/>
      <c r="C11" s="41"/>
      <c r="D11" s="40"/>
      <c r="E11" s="42"/>
      <c r="F11" s="40"/>
      <c r="G11" s="52"/>
      <c r="H11" s="40"/>
      <c r="I11" s="42"/>
      <c r="J11" s="40"/>
      <c r="K11" s="42"/>
      <c r="L11" s="38"/>
      <c r="M11" s="41"/>
      <c r="N11" s="38"/>
      <c r="O11" s="41"/>
      <c r="P11" s="41"/>
    </row>
    <row r="12" spans="1:16" ht="18" customHeight="1">
      <c r="A12" s="91"/>
      <c r="B12" s="44">
        <v>54</v>
      </c>
      <c r="C12" s="45">
        <f>1091993/1000</f>
        <v>1091.993</v>
      </c>
      <c r="D12" s="46">
        <f>760627/1000</f>
        <v>760.627</v>
      </c>
      <c r="E12" s="54">
        <f>D12/C12*100</f>
        <v>69.65493368547234</v>
      </c>
      <c r="F12" s="48">
        <f>888599/1000</f>
        <v>888.599</v>
      </c>
      <c r="G12" s="49">
        <f>F12/C12*100</f>
        <v>81.37405642710165</v>
      </c>
      <c r="H12" s="50">
        <f>639842/1000</f>
        <v>639.842</v>
      </c>
      <c r="I12" s="54">
        <f>H12/C12*100</f>
        <v>58.59396534593171</v>
      </c>
      <c r="J12" s="48">
        <f>1066636/1000</f>
        <v>1066.636</v>
      </c>
      <c r="K12" s="56">
        <f>J12/C12*100</f>
        <v>97.67791551777347</v>
      </c>
      <c r="L12" s="44">
        <v>753</v>
      </c>
      <c r="M12" s="45">
        <f>18893/1000</f>
        <v>18.893</v>
      </c>
      <c r="N12" s="44">
        <v>54</v>
      </c>
      <c r="O12" s="45">
        <f>21148/1000</f>
        <v>21.148</v>
      </c>
      <c r="P12" s="45">
        <f>383106/1000</f>
        <v>383.106</v>
      </c>
    </row>
    <row r="13" spans="1:16" ht="18" customHeight="1">
      <c r="A13" s="91" t="s">
        <v>20</v>
      </c>
      <c r="B13" s="38"/>
      <c r="C13" s="41"/>
      <c r="D13" s="40"/>
      <c r="E13" s="42"/>
      <c r="F13" s="40"/>
      <c r="G13" s="52"/>
      <c r="H13" s="40"/>
      <c r="I13" s="42"/>
      <c r="J13" s="40"/>
      <c r="K13" s="42"/>
      <c r="L13" s="38"/>
      <c r="M13" s="41"/>
      <c r="N13" s="38"/>
      <c r="O13" s="41"/>
      <c r="P13" s="41"/>
    </row>
    <row r="14" spans="1:16" ht="18" customHeight="1">
      <c r="A14" s="91"/>
      <c r="B14" s="44">
        <v>188</v>
      </c>
      <c r="C14" s="45">
        <f>1792835/1000</f>
        <v>1792.835</v>
      </c>
      <c r="D14" s="46">
        <f>753297/1000</f>
        <v>753.297</v>
      </c>
      <c r="E14" s="54">
        <f>D14/C14*100</f>
        <v>42.01708467315732</v>
      </c>
      <c r="F14" s="48">
        <f>1095135/1000</f>
        <v>1095.135</v>
      </c>
      <c r="G14" s="49">
        <f>F14/C14*100</f>
        <v>61.083981515309546</v>
      </c>
      <c r="H14" s="50">
        <f>595890/1000</f>
        <v>595.89</v>
      </c>
      <c r="I14" s="54">
        <f>H14/C14*100</f>
        <v>33.23730293083301</v>
      </c>
      <c r="J14" s="48">
        <f>1666379/1000</f>
        <v>1666.379</v>
      </c>
      <c r="K14" s="56">
        <f>J14/C14*100</f>
        <v>92.94659017701015</v>
      </c>
      <c r="L14" s="44">
        <v>1021</v>
      </c>
      <c r="M14" s="45">
        <f>16603/1000</f>
        <v>16.603</v>
      </c>
      <c r="N14" s="44">
        <v>25</v>
      </c>
      <c r="O14" s="45">
        <f>5661/1000</f>
        <v>5.661</v>
      </c>
      <c r="P14" s="45">
        <f>304267/1000</f>
        <v>304.267</v>
      </c>
    </row>
    <row r="15" spans="1:16" ht="18" customHeight="1">
      <c r="A15" s="27" t="s">
        <v>56</v>
      </c>
      <c r="B15" s="38"/>
      <c r="C15" s="41"/>
      <c r="D15" s="40"/>
      <c r="E15" s="42"/>
      <c r="F15" s="40"/>
      <c r="G15" s="52"/>
      <c r="H15" s="40"/>
      <c r="I15" s="42"/>
      <c r="J15" s="40"/>
      <c r="K15" s="42"/>
      <c r="L15" s="38"/>
      <c r="M15" s="41"/>
      <c r="N15" s="38"/>
      <c r="O15" s="41"/>
      <c r="P15" s="41"/>
    </row>
    <row r="16" spans="1:16" ht="18" customHeight="1">
      <c r="A16" s="29" t="s">
        <v>55</v>
      </c>
      <c r="B16" s="44">
        <f>B12+B14</f>
        <v>242</v>
      </c>
      <c r="C16" s="45">
        <f>C12+C14</f>
        <v>2884.828</v>
      </c>
      <c r="D16" s="53">
        <f>D12+D14</f>
        <v>1513.924</v>
      </c>
      <c r="E16" s="54">
        <f>D16/C16*100</f>
        <v>52.47883062699059</v>
      </c>
      <c r="F16" s="55">
        <f>F12+F14</f>
        <v>1983.734</v>
      </c>
      <c r="G16" s="56">
        <f>F16/C16*100</f>
        <v>68.76437694032364</v>
      </c>
      <c r="H16" s="57">
        <f>H12+H14</f>
        <v>1235.732</v>
      </c>
      <c r="I16" s="54">
        <f>H16/C16*100</f>
        <v>42.835552067575605</v>
      </c>
      <c r="J16" s="55">
        <f>J12+J14</f>
        <v>2733.015</v>
      </c>
      <c r="K16" s="56">
        <f>J16/C16*100</f>
        <v>94.7375372119239</v>
      </c>
      <c r="L16" s="44">
        <f>L12+L14</f>
        <v>1774</v>
      </c>
      <c r="M16" s="45">
        <f>M12+M14</f>
        <v>35.496</v>
      </c>
      <c r="N16" s="44">
        <f>N12+N14</f>
        <v>79</v>
      </c>
      <c r="O16" s="45">
        <f>O12+O14</f>
        <v>26.808999999999997</v>
      </c>
      <c r="P16" s="45">
        <f>P12+P14</f>
        <v>687.373</v>
      </c>
    </row>
    <row r="17" spans="1:16" ht="18" customHeight="1">
      <c r="A17" s="69" t="s">
        <v>61</v>
      </c>
      <c r="B17" s="58"/>
      <c r="C17" s="59"/>
      <c r="D17" s="60"/>
      <c r="E17" s="61"/>
      <c r="F17" s="60"/>
      <c r="G17" s="62"/>
      <c r="H17" s="60"/>
      <c r="I17" s="61"/>
      <c r="J17" s="60"/>
      <c r="K17" s="61"/>
      <c r="L17" s="58"/>
      <c r="M17" s="59"/>
      <c r="N17" s="58"/>
      <c r="O17" s="59"/>
      <c r="P17" s="59"/>
    </row>
    <row r="18" spans="1:16" ht="18" customHeight="1">
      <c r="A18" s="29" t="s">
        <v>55</v>
      </c>
      <c r="B18" s="44">
        <f>B10+B16</f>
        <v>260</v>
      </c>
      <c r="C18" s="45">
        <f>C10+C16</f>
        <v>3968.543</v>
      </c>
      <c r="D18" s="53">
        <f>D10+D16</f>
        <v>2487.102</v>
      </c>
      <c r="E18" s="54">
        <f>D18/C18*100</f>
        <v>62.67040573832764</v>
      </c>
      <c r="F18" s="55">
        <f>F10+F16</f>
        <v>2997.868</v>
      </c>
      <c r="G18" s="56">
        <f>F18/C18*100</f>
        <v>75.54077151236612</v>
      </c>
      <c r="H18" s="57">
        <f>H10+H16</f>
        <v>2168.239</v>
      </c>
      <c r="I18" s="54">
        <f>H18/C18*100</f>
        <v>54.63564335828035</v>
      </c>
      <c r="J18" s="55">
        <f>J10+J16</f>
        <v>3814.388</v>
      </c>
      <c r="K18" s="56">
        <f>J18/C18*100</f>
        <v>96.11557692583902</v>
      </c>
      <c r="L18" s="44">
        <f>L10+L16</f>
        <v>2982</v>
      </c>
      <c r="M18" s="45">
        <f>M10+M16</f>
        <v>96.57</v>
      </c>
      <c r="N18" s="44">
        <f>N10+N16</f>
        <v>219</v>
      </c>
      <c r="O18" s="45">
        <f>O10+O16</f>
        <v>104.92399999999999</v>
      </c>
      <c r="P18" s="45">
        <f>P10+P16</f>
        <v>1395.603</v>
      </c>
    </row>
    <row r="19" spans="1:16" ht="18" customHeight="1">
      <c r="A19" s="27" t="s">
        <v>57</v>
      </c>
      <c r="B19" s="58"/>
      <c r="C19" s="59"/>
      <c r="D19" s="60"/>
      <c r="E19" s="61"/>
      <c r="F19" s="60"/>
      <c r="G19" s="62"/>
      <c r="H19" s="60"/>
      <c r="I19" s="61"/>
      <c r="J19" s="60"/>
      <c r="K19" s="61"/>
      <c r="L19" s="58"/>
      <c r="M19" s="59"/>
      <c r="N19" s="58"/>
      <c r="O19" s="59"/>
      <c r="P19" s="59"/>
    </row>
    <row r="20" spans="1:16" ht="18" customHeight="1">
      <c r="A20" s="29" t="s">
        <v>55</v>
      </c>
      <c r="B20" s="44">
        <f>B8+B16</f>
        <v>255</v>
      </c>
      <c r="C20" s="45">
        <f>C8+C16</f>
        <v>3499.514</v>
      </c>
      <c r="D20" s="53">
        <f>D8+D16</f>
        <v>2018.0729999999999</v>
      </c>
      <c r="E20" s="54">
        <f>D20/C20*100</f>
        <v>57.667236079066974</v>
      </c>
      <c r="F20" s="55">
        <f>F8+F16</f>
        <v>2528.839</v>
      </c>
      <c r="G20" s="56">
        <f>F20/C20*100</f>
        <v>72.26257703212504</v>
      </c>
      <c r="H20" s="57">
        <f>H8+H16</f>
        <v>1699.21</v>
      </c>
      <c r="I20" s="54">
        <f>H20/C20*100</f>
        <v>48.55559943466435</v>
      </c>
      <c r="J20" s="55">
        <f>J8+J16</f>
        <v>3345.359</v>
      </c>
      <c r="K20" s="56">
        <f>J20/C20*100</f>
        <v>95.59495975726915</v>
      </c>
      <c r="L20" s="44">
        <f>L8+L16</f>
        <v>2342</v>
      </c>
      <c r="M20" s="45">
        <f>M8+M16</f>
        <v>56.342</v>
      </c>
      <c r="N20" s="44">
        <f>N8+N16</f>
        <v>167</v>
      </c>
      <c r="O20" s="45">
        <f>O8+O16</f>
        <v>76.425</v>
      </c>
      <c r="P20" s="45">
        <f>P8+P16</f>
        <v>1054.1870000000001</v>
      </c>
    </row>
    <row r="21" spans="1:16" ht="18" customHeight="1">
      <c r="A21" s="91" t="s">
        <v>24</v>
      </c>
      <c r="B21" s="38"/>
      <c r="C21" s="41"/>
      <c r="D21" s="40"/>
      <c r="E21" s="42"/>
      <c r="F21" s="40"/>
      <c r="G21" s="52"/>
      <c r="H21" s="40"/>
      <c r="I21" s="42"/>
      <c r="J21" s="40"/>
      <c r="K21" s="42"/>
      <c r="L21" s="38"/>
      <c r="M21" s="41"/>
      <c r="N21" s="38"/>
      <c r="O21" s="41"/>
      <c r="P21" s="41"/>
    </row>
    <row r="22" spans="1:16" ht="18" customHeight="1">
      <c r="A22" s="91"/>
      <c r="B22" s="44">
        <v>1065</v>
      </c>
      <c r="C22" s="45">
        <f>1564157/1000</f>
        <v>1564.157</v>
      </c>
      <c r="D22" s="53">
        <f>587987/1000</f>
        <v>587.987</v>
      </c>
      <c r="E22" s="54">
        <f>D22/C22*100</f>
        <v>37.59130317480918</v>
      </c>
      <c r="F22" s="55">
        <f>1258030/1000</f>
        <v>1258.03</v>
      </c>
      <c r="G22" s="56">
        <f>F22/C22*100</f>
        <v>80.42862704958645</v>
      </c>
      <c r="H22" s="57">
        <f>307445/1000</f>
        <v>307.445</v>
      </c>
      <c r="I22" s="54">
        <f>H22/C22*100</f>
        <v>19.655635591567854</v>
      </c>
      <c r="J22" s="55">
        <f>1510768/1000</f>
        <v>1510.768</v>
      </c>
      <c r="K22" s="56">
        <f>J22/C22*100</f>
        <v>96.5867237112387</v>
      </c>
      <c r="L22" s="44">
        <v>1150</v>
      </c>
      <c r="M22" s="45">
        <f>20085/1000</f>
        <v>20.085</v>
      </c>
      <c r="N22" s="44">
        <v>19</v>
      </c>
      <c r="O22" s="45">
        <f>4648/1000</f>
        <v>4.648</v>
      </c>
      <c r="P22" s="45">
        <f>301930/1000</f>
        <v>301.93</v>
      </c>
    </row>
    <row r="23" spans="1:16" ht="18" customHeight="1">
      <c r="A23" s="91" t="s">
        <v>25</v>
      </c>
      <c r="B23" s="38"/>
      <c r="C23" s="41"/>
      <c r="D23" s="40"/>
      <c r="E23" s="42"/>
      <c r="F23" s="40"/>
      <c r="G23" s="52"/>
      <c r="H23" s="40"/>
      <c r="I23" s="42"/>
      <c r="J23" s="40"/>
      <c r="K23" s="42"/>
      <c r="L23" s="38"/>
      <c r="M23" s="41"/>
      <c r="N23" s="38"/>
      <c r="O23" s="41"/>
      <c r="P23" s="41"/>
    </row>
    <row r="24" spans="1:16" ht="18" customHeight="1">
      <c r="A24" s="91"/>
      <c r="B24" s="44">
        <v>1397</v>
      </c>
      <c r="C24" s="45">
        <f>1645205/1000</f>
        <v>1645.205</v>
      </c>
      <c r="D24" s="53">
        <f>238299/1000</f>
        <v>238.299</v>
      </c>
      <c r="E24" s="54">
        <f>D24/C24*100</f>
        <v>14.484456344346148</v>
      </c>
      <c r="F24" s="55">
        <f>1073174/1000</f>
        <v>1073.174</v>
      </c>
      <c r="G24" s="56">
        <f>F24/C24*100</f>
        <v>65.2304120155239</v>
      </c>
      <c r="H24" s="57">
        <f>150656/1000</f>
        <v>150.656</v>
      </c>
      <c r="I24" s="54">
        <f>H24/C24*100</f>
        <v>9.15727827231257</v>
      </c>
      <c r="J24" s="55">
        <f>1554041/1000</f>
        <v>1554.041</v>
      </c>
      <c r="K24" s="56">
        <f>J24/C24*100</f>
        <v>94.45880604544722</v>
      </c>
      <c r="L24" s="44">
        <v>1227</v>
      </c>
      <c r="M24" s="45">
        <f>13853/1000</f>
        <v>13.853</v>
      </c>
      <c r="N24" s="44">
        <v>4</v>
      </c>
      <c r="O24" s="45">
        <f>640/1000</f>
        <v>0.64</v>
      </c>
      <c r="P24" s="45">
        <f>79086/1000</f>
        <v>79.086</v>
      </c>
    </row>
    <row r="25" spans="1:16" ht="18" customHeight="1">
      <c r="A25" s="27" t="s">
        <v>58</v>
      </c>
      <c r="B25" s="38"/>
      <c r="C25" s="41"/>
      <c r="D25" s="40"/>
      <c r="E25" s="42"/>
      <c r="F25" s="40"/>
      <c r="G25" s="52"/>
      <c r="H25" s="40"/>
      <c r="I25" s="42"/>
      <c r="J25" s="40"/>
      <c r="K25" s="42"/>
      <c r="L25" s="38"/>
      <c r="M25" s="41"/>
      <c r="N25" s="38"/>
      <c r="O25" s="41"/>
      <c r="P25" s="41"/>
    </row>
    <row r="26" spans="1:16" ht="18" customHeight="1">
      <c r="A26" s="29" t="s">
        <v>59</v>
      </c>
      <c r="B26" s="44">
        <f>B22+B24</f>
        <v>2462</v>
      </c>
      <c r="C26" s="45">
        <f>C22+C24</f>
        <v>3209.362</v>
      </c>
      <c r="D26" s="53">
        <f>D22+D24</f>
        <v>826.286</v>
      </c>
      <c r="E26" s="54">
        <f>D26/C26*100</f>
        <v>25.746114025155155</v>
      </c>
      <c r="F26" s="55">
        <f>F22+F24</f>
        <v>2331.2039999999997</v>
      </c>
      <c r="G26" s="56">
        <f>F26/C26*100</f>
        <v>72.63761457884776</v>
      </c>
      <c r="H26" s="57">
        <f>H22+H24</f>
        <v>458.101</v>
      </c>
      <c r="I26" s="54">
        <f>H26/C26*100</f>
        <v>14.273896182481128</v>
      </c>
      <c r="J26" s="55">
        <f>J22+J24</f>
        <v>3064.809</v>
      </c>
      <c r="K26" s="56">
        <f>J26/C26*100</f>
        <v>95.49589606906295</v>
      </c>
      <c r="L26" s="44">
        <f>L22+L24</f>
        <v>2377</v>
      </c>
      <c r="M26" s="45">
        <f>M22+M24</f>
        <v>33.938</v>
      </c>
      <c r="N26" s="44">
        <f>N22+N24</f>
        <v>23</v>
      </c>
      <c r="O26" s="45">
        <f>O22+O24</f>
        <v>5.287999999999999</v>
      </c>
      <c r="P26" s="45">
        <f>P22+P24</f>
        <v>381.016</v>
      </c>
    </row>
    <row r="27" spans="1:16" ht="18" customHeight="1">
      <c r="A27" s="90" t="s">
        <v>30</v>
      </c>
      <c r="B27" s="38"/>
      <c r="C27" s="41"/>
      <c r="D27" s="40"/>
      <c r="E27" s="42"/>
      <c r="F27" s="40"/>
      <c r="G27" s="52"/>
      <c r="H27" s="40"/>
      <c r="I27" s="42"/>
      <c r="J27" s="40"/>
      <c r="K27" s="42"/>
      <c r="L27" s="38"/>
      <c r="M27" s="41"/>
      <c r="N27" s="38"/>
      <c r="O27" s="41"/>
      <c r="P27" s="41"/>
    </row>
    <row r="28" spans="1:16" ht="18" customHeight="1">
      <c r="A28" s="90"/>
      <c r="B28" s="44">
        <v>27070</v>
      </c>
      <c r="C28" s="45">
        <f>11063905/1000</f>
        <v>11063.905</v>
      </c>
      <c r="D28" s="53">
        <f>794906/1000</f>
        <v>794.906</v>
      </c>
      <c r="E28" s="54">
        <f>D28/C28*100</f>
        <v>7.18467846569543</v>
      </c>
      <c r="F28" s="55">
        <f>5014905/1000</f>
        <v>5014.905</v>
      </c>
      <c r="G28" s="56">
        <f>F28/C28*100</f>
        <v>45.326717827024</v>
      </c>
      <c r="H28" s="57">
        <f>1379098/1000</f>
        <v>1379.098</v>
      </c>
      <c r="I28" s="54">
        <f>H28/C28*100</f>
        <v>12.464839493831517</v>
      </c>
      <c r="J28" s="55">
        <f>9122332/1000</f>
        <v>9122.332</v>
      </c>
      <c r="K28" s="56">
        <f>J28/C28*100</f>
        <v>82.45128641288947</v>
      </c>
      <c r="L28" s="44">
        <v>6853</v>
      </c>
      <c r="M28" s="45">
        <f>62160/1000</f>
        <v>62.16</v>
      </c>
      <c r="N28" s="44">
        <v>39</v>
      </c>
      <c r="O28" s="45">
        <f>7481/1000</f>
        <v>7.481</v>
      </c>
      <c r="P28" s="45">
        <f>218280/1000</f>
        <v>218.28</v>
      </c>
    </row>
    <row r="29" spans="1:16" ht="18" customHeight="1">
      <c r="A29" s="27" t="s">
        <v>60</v>
      </c>
      <c r="B29" s="38"/>
      <c r="C29" s="41"/>
      <c r="D29" s="40"/>
      <c r="E29" s="42"/>
      <c r="F29" s="40"/>
      <c r="G29" s="52"/>
      <c r="H29" s="40"/>
      <c r="I29" s="42"/>
      <c r="J29" s="40"/>
      <c r="K29" s="42"/>
      <c r="L29" s="38"/>
      <c r="M29" s="41"/>
      <c r="N29" s="38"/>
      <c r="O29" s="41"/>
      <c r="P29" s="41"/>
    </row>
    <row r="30" spans="1:16" ht="18" customHeight="1">
      <c r="A30" s="29" t="s">
        <v>55</v>
      </c>
      <c r="B30" s="44">
        <f>B26+B28</f>
        <v>29532</v>
      </c>
      <c r="C30" s="45">
        <f>C26+C28</f>
        <v>14273.267</v>
      </c>
      <c r="D30" s="53">
        <f>D26+D28</f>
        <v>1621.192</v>
      </c>
      <c r="E30" s="54">
        <f>D30/C30*100</f>
        <v>11.358240548572377</v>
      </c>
      <c r="F30" s="55">
        <f>F26+F28</f>
        <v>7346.1089999999995</v>
      </c>
      <c r="G30" s="56">
        <f>F30/C30*100</f>
        <v>51.467607240865036</v>
      </c>
      <c r="H30" s="57">
        <f>H26+H28</f>
        <v>1837.199</v>
      </c>
      <c r="I30" s="54">
        <f>H30/C30*100</f>
        <v>12.87160816090668</v>
      </c>
      <c r="J30" s="55">
        <f>J26+J28</f>
        <v>12187.141</v>
      </c>
      <c r="K30" s="56">
        <f>J30/C30*100</f>
        <v>85.38438326698436</v>
      </c>
      <c r="L30" s="44">
        <f>L26+L28</f>
        <v>9230</v>
      </c>
      <c r="M30" s="45">
        <f>M26+M28</f>
        <v>96.098</v>
      </c>
      <c r="N30" s="44">
        <f>N26+N28</f>
        <v>62</v>
      </c>
      <c r="O30" s="45">
        <f>O26+O28</f>
        <v>12.768999999999998</v>
      </c>
      <c r="P30" s="45">
        <f>P26+P28</f>
        <v>599.296</v>
      </c>
    </row>
    <row r="31" spans="1:16" ht="18" customHeight="1">
      <c r="A31" s="91" t="s">
        <v>28</v>
      </c>
      <c r="B31" s="38"/>
      <c r="C31" s="41"/>
      <c r="D31" s="40"/>
      <c r="E31" s="42"/>
      <c r="F31" s="40"/>
      <c r="G31" s="52"/>
      <c r="H31" s="40"/>
      <c r="I31" s="42"/>
      <c r="J31" s="40"/>
      <c r="K31" s="42"/>
      <c r="L31" s="38"/>
      <c r="M31" s="41"/>
      <c r="N31" s="38"/>
      <c r="O31" s="41"/>
      <c r="P31" s="41"/>
    </row>
    <row r="32" spans="1:16" ht="18" customHeight="1">
      <c r="A32" s="91"/>
      <c r="B32" s="44">
        <f>B18+B30</f>
        <v>29792</v>
      </c>
      <c r="C32" s="45">
        <f>C18+C30</f>
        <v>18241.81</v>
      </c>
      <c r="D32" s="53">
        <f>D18+D30</f>
        <v>4108.294</v>
      </c>
      <c r="E32" s="54">
        <f>D32/C32*100</f>
        <v>22.521306822075218</v>
      </c>
      <c r="F32" s="55">
        <f>F18+F30</f>
        <v>10343.976999999999</v>
      </c>
      <c r="G32" s="56">
        <f>F32/C32*100</f>
        <v>56.70477326537223</v>
      </c>
      <c r="H32" s="57">
        <f>H18+H30</f>
        <v>4005.438</v>
      </c>
      <c r="I32" s="54">
        <f>H32/C32*100</f>
        <v>21.95745926528124</v>
      </c>
      <c r="J32" s="55">
        <f>J18+J30</f>
        <v>16001.528999999999</v>
      </c>
      <c r="K32" s="56">
        <f>J32/C32*100</f>
        <v>87.71897635157913</v>
      </c>
      <c r="L32" s="44">
        <f>L18+L30</f>
        <v>12212</v>
      </c>
      <c r="M32" s="45">
        <f>M18+M30</f>
        <v>192.668</v>
      </c>
      <c r="N32" s="44">
        <f>N18+N30</f>
        <v>281</v>
      </c>
      <c r="O32" s="45">
        <f>O18+O30</f>
        <v>117.69299999999998</v>
      </c>
      <c r="P32" s="45">
        <f>P18+P30</f>
        <v>1994.8990000000001</v>
      </c>
    </row>
    <row r="33" spans="1:16" ht="14.25" customHeight="1">
      <c r="A33" s="31" t="s">
        <v>31</v>
      </c>
      <c r="B33" s="33"/>
      <c r="C33" s="39"/>
      <c r="D33" s="39"/>
      <c r="E33" s="34"/>
      <c r="F33" s="39"/>
      <c r="G33" s="34"/>
      <c r="H33" s="39"/>
      <c r="I33" s="34"/>
      <c r="J33" s="39"/>
      <c r="K33" s="34"/>
      <c r="L33" s="35"/>
      <c r="M33" s="37"/>
      <c r="N33" s="35"/>
      <c r="O33" s="37"/>
      <c r="P33" s="37"/>
    </row>
    <row r="34" ht="13.5">
      <c r="A34" s="31" t="s">
        <v>32</v>
      </c>
    </row>
    <row r="35" ht="13.5">
      <c r="A35" s="31" t="s">
        <v>33</v>
      </c>
    </row>
    <row r="36" ht="13.5">
      <c r="A36" s="31" t="s">
        <v>34</v>
      </c>
    </row>
    <row r="37" ht="13.5">
      <c r="A37" s="31" t="s">
        <v>35</v>
      </c>
    </row>
    <row r="38" ht="13.5">
      <c r="A38" s="31" t="s">
        <v>41</v>
      </c>
    </row>
  </sheetData>
  <sheetProtection/>
  <mergeCells count="24">
    <mergeCell ref="A27:A28"/>
    <mergeCell ref="A31:A32"/>
    <mergeCell ref="D4:E4"/>
    <mergeCell ref="H4:I4"/>
    <mergeCell ref="A11:A12"/>
    <mergeCell ref="A13:A14"/>
    <mergeCell ref="A21:A22"/>
    <mergeCell ref="A23:A24"/>
    <mergeCell ref="H3:I3"/>
    <mergeCell ref="J3:K4"/>
    <mergeCell ref="L3:L4"/>
    <mergeCell ref="M3:M4"/>
    <mergeCell ref="N3:N4"/>
    <mergeCell ref="O3:O4"/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H28" sqref="H28"/>
    </sheetView>
  </sheetViews>
  <sheetFormatPr defaultColWidth="8.875" defaultRowHeight="13.5"/>
  <cols>
    <col min="1" max="1" width="14.25390625" style="14" customWidth="1"/>
    <col min="2" max="2" width="8.875" style="32" customWidth="1"/>
    <col min="3" max="3" width="9.875" style="36" customWidth="1"/>
    <col min="4" max="4" width="14.75390625" style="36" customWidth="1"/>
    <col min="5" max="5" width="13.125" style="32" customWidth="1"/>
    <col min="6" max="6" width="10.75390625" style="36" customWidth="1"/>
    <col min="7" max="7" width="9.75390625" style="32" customWidth="1"/>
    <col min="8" max="8" width="14.75390625" style="36" customWidth="1"/>
    <col min="9" max="9" width="13.125" style="32" customWidth="1"/>
    <col min="10" max="10" width="10.75390625" style="36" customWidth="1"/>
    <col min="11" max="11" width="10.25390625" style="32" customWidth="1"/>
    <col min="12" max="12" width="8.875" style="32" customWidth="1"/>
    <col min="13" max="13" width="7.75390625" style="36" bestFit="1" customWidth="1"/>
    <col min="14" max="14" width="8.875" style="32" customWidth="1"/>
    <col min="15" max="15" width="9.00390625" style="36" bestFit="1" customWidth="1"/>
    <col min="16" max="16" width="9.625" style="36" bestFit="1" customWidth="1"/>
    <col min="17" max="16384" width="8.875" style="32" customWidth="1"/>
  </cols>
  <sheetData>
    <row r="1" spans="1:16" ht="36" customHeight="1">
      <c r="A1" s="75" t="s">
        <v>94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5.5" customHeight="1">
      <c r="A2" s="76" t="s">
        <v>0</v>
      </c>
      <c r="B2" s="76" t="s">
        <v>1</v>
      </c>
      <c r="C2" s="78" t="s">
        <v>2</v>
      </c>
      <c r="D2" s="80" t="s">
        <v>3</v>
      </c>
      <c r="E2" s="80"/>
      <c r="F2" s="80"/>
      <c r="G2" s="80"/>
      <c r="H2" s="80" t="s">
        <v>4</v>
      </c>
      <c r="I2" s="80"/>
      <c r="J2" s="80"/>
      <c r="K2" s="80"/>
      <c r="L2" s="76" t="s">
        <v>5</v>
      </c>
      <c r="M2" s="76"/>
      <c r="N2" s="76" t="s">
        <v>6</v>
      </c>
      <c r="O2" s="76"/>
      <c r="P2" s="27" t="s">
        <v>7</v>
      </c>
    </row>
    <row r="3" spans="1:16" ht="13.5">
      <c r="A3" s="76"/>
      <c r="B3" s="76"/>
      <c r="C3" s="79"/>
      <c r="D3" s="81"/>
      <c r="E3" s="82"/>
      <c r="F3" s="82" t="s">
        <v>8</v>
      </c>
      <c r="G3" s="83"/>
      <c r="H3" s="86"/>
      <c r="I3" s="87"/>
      <c r="J3" s="82" t="s">
        <v>9</v>
      </c>
      <c r="K3" s="83"/>
      <c r="L3" s="88" t="s">
        <v>10</v>
      </c>
      <c r="M3" s="80" t="s">
        <v>11</v>
      </c>
      <c r="N3" s="76" t="s">
        <v>10</v>
      </c>
      <c r="O3" s="80" t="s">
        <v>11</v>
      </c>
      <c r="P3" s="28" t="s">
        <v>12</v>
      </c>
    </row>
    <row r="4" spans="1:16" ht="13.5">
      <c r="A4" s="76"/>
      <c r="B4" s="77"/>
      <c r="C4" s="79"/>
      <c r="D4" s="81" t="s">
        <v>13</v>
      </c>
      <c r="E4" s="83"/>
      <c r="F4" s="84"/>
      <c r="G4" s="85"/>
      <c r="H4" s="81" t="s">
        <v>14</v>
      </c>
      <c r="I4" s="83"/>
      <c r="J4" s="84"/>
      <c r="K4" s="85"/>
      <c r="L4" s="89"/>
      <c r="M4" s="78"/>
      <c r="N4" s="77"/>
      <c r="O4" s="78"/>
      <c r="P4" s="29" t="s">
        <v>15</v>
      </c>
    </row>
    <row r="5" spans="1:16" ht="18" customHeight="1">
      <c r="A5" s="64" t="s">
        <v>52</v>
      </c>
      <c r="B5" s="38"/>
      <c r="C5" s="41"/>
      <c r="D5" s="66"/>
      <c r="E5" s="73"/>
      <c r="F5" s="73"/>
      <c r="G5" s="74"/>
      <c r="H5" s="66"/>
      <c r="I5" s="73"/>
      <c r="J5" s="73"/>
      <c r="K5" s="73"/>
      <c r="L5" s="38"/>
      <c r="M5" s="41"/>
      <c r="N5" s="38"/>
      <c r="O5" s="41"/>
      <c r="P5" s="41"/>
    </row>
    <row r="6" spans="1:16" ht="18" customHeight="1">
      <c r="A6" s="65" t="s">
        <v>53</v>
      </c>
      <c r="B6" s="44">
        <v>6</v>
      </c>
      <c r="C6" s="45">
        <f>468909/1000</f>
        <v>468.909</v>
      </c>
      <c r="D6" s="53">
        <f>468909/1000</f>
        <v>468.909</v>
      </c>
      <c r="E6" s="54">
        <f>D6/C6*100</f>
        <v>100</v>
      </c>
      <c r="F6" s="55">
        <f>468909/1000</f>
        <v>468.909</v>
      </c>
      <c r="G6" s="56">
        <f>F6/C6*100</f>
        <v>100</v>
      </c>
      <c r="H6" s="57">
        <f>468909/1000</f>
        <v>468.909</v>
      </c>
      <c r="I6" s="54">
        <f>H6/C6*100</f>
        <v>100</v>
      </c>
      <c r="J6" s="55">
        <f>468909/1000</f>
        <v>468.909</v>
      </c>
      <c r="K6" s="56">
        <f>J6/C6*100</f>
        <v>100</v>
      </c>
      <c r="L6" s="44">
        <v>641</v>
      </c>
      <c r="M6" s="45">
        <f>40246/1000</f>
        <v>40.246</v>
      </c>
      <c r="N6" s="44">
        <v>52</v>
      </c>
      <c r="O6" s="45">
        <f>28499/1000</f>
        <v>28.499</v>
      </c>
      <c r="P6" s="45">
        <f>340948/1000</f>
        <v>340.948</v>
      </c>
    </row>
    <row r="7" spans="1:16" ht="18" customHeight="1">
      <c r="A7" s="27" t="s">
        <v>52</v>
      </c>
      <c r="B7" s="38"/>
      <c r="C7" s="41"/>
      <c r="D7" s="40"/>
      <c r="E7" s="61"/>
      <c r="F7" s="40"/>
      <c r="G7" s="62"/>
      <c r="H7" s="40"/>
      <c r="I7" s="61"/>
      <c r="J7" s="40"/>
      <c r="K7" s="61"/>
      <c r="L7" s="38"/>
      <c r="M7" s="41"/>
      <c r="N7" s="38"/>
      <c r="O7" s="41"/>
      <c r="P7" s="41"/>
    </row>
    <row r="8" spans="1:16" ht="18" customHeight="1">
      <c r="A8" s="70" t="s">
        <v>62</v>
      </c>
      <c r="B8" s="44">
        <v>13</v>
      </c>
      <c r="C8" s="45">
        <v>615.185</v>
      </c>
      <c r="D8" s="46">
        <v>503.279</v>
      </c>
      <c r="E8" s="54">
        <f>D8/C8*100</f>
        <v>81.80937441582614</v>
      </c>
      <c r="F8" s="48">
        <v>544.202</v>
      </c>
      <c r="G8" s="49">
        <f>F8/C8*100</f>
        <v>88.46151970545446</v>
      </c>
      <c r="H8" s="50">
        <v>462.585</v>
      </c>
      <c r="I8" s="54">
        <f>H8/C8*100</f>
        <v>75.19445370091924</v>
      </c>
      <c r="J8" s="48">
        <v>612.848</v>
      </c>
      <c r="K8" s="56">
        <f>J8/C8*100</f>
        <v>99.62011427456781</v>
      </c>
      <c r="L8" s="44">
        <v>570</v>
      </c>
      <c r="M8" s="45">
        <v>20.865</v>
      </c>
      <c r="N8" s="44">
        <v>88</v>
      </c>
      <c r="O8" s="45">
        <v>49.616</v>
      </c>
      <c r="P8" s="45">
        <v>366.501</v>
      </c>
    </row>
    <row r="9" spans="1:16" ht="18" customHeight="1">
      <c r="A9" s="27" t="s">
        <v>52</v>
      </c>
      <c r="B9" s="38"/>
      <c r="C9" s="41"/>
      <c r="D9" s="40"/>
      <c r="E9" s="42"/>
      <c r="F9" s="40"/>
      <c r="G9" s="52"/>
      <c r="H9" s="40"/>
      <c r="I9" s="42"/>
      <c r="J9" s="40"/>
      <c r="K9" s="42"/>
      <c r="L9" s="38"/>
      <c r="M9" s="41"/>
      <c r="N9" s="38"/>
      <c r="O9" s="41"/>
      <c r="P9" s="41"/>
    </row>
    <row r="10" spans="1:16" ht="18" customHeight="1">
      <c r="A10" s="29" t="s">
        <v>55</v>
      </c>
      <c r="B10" s="44">
        <f>B6+B8-1</f>
        <v>18</v>
      </c>
      <c r="C10" s="45">
        <f>C6+C8</f>
        <v>1084.094</v>
      </c>
      <c r="D10" s="53">
        <f>D6+D8</f>
        <v>972.188</v>
      </c>
      <c r="E10" s="54">
        <f>D10/C10*100</f>
        <v>89.67746339339577</v>
      </c>
      <c r="F10" s="55">
        <f>F6+F8</f>
        <v>1013.111</v>
      </c>
      <c r="G10" s="56">
        <f>F10/C10*100</f>
        <v>93.4523205552286</v>
      </c>
      <c r="H10" s="57">
        <f>H6+H8</f>
        <v>931.4939999999999</v>
      </c>
      <c r="I10" s="54">
        <f>H10/C10*100</f>
        <v>85.92372986106369</v>
      </c>
      <c r="J10" s="55">
        <f>J6+J8</f>
        <v>1081.757</v>
      </c>
      <c r="K10" s="56">
        <f>J10/C10*100</f>
        <v>99.78442828758392</v>
      </c>
      <c r="L10" s="44">
        <f>L6+L8</f>
        <v>1211</v>
      </c>
      <c r="M10" s="45">
        <f>M6+M8</f>
        <v>61.111000000000004</v>
      </c>
      <c r="N10" s="44">
        <f>N6+N8</f>
        <v>140</v>
      </c>
      <c r="O10" s="45">
        <f>O6+O8</f>
        <v>78.115</v>
      </c>
      <c r="P10" s="45">
        <f>P6+P8</f>
        <v>707.449</v>
      </c>
    </row>
    <row r="11" spans="1:16" ht="18" customHeight="1">
      <c r="A11" s="91" t="s">
        <v>19</v>
      </c>
      <c r="B11" s="38"/>
      <c r="C11" s="41"/>
      <c r="D11" s="40"/>
      <c r="E11" s="42"/>
      <c r="F11" s="40"/>
      <c r="G11" s="52"/>
      <c r="H11" s="40"/>
      <c r="I11" s="42"/>
      <c r="J11" s="40"/>
      <c r="K11" s="42"/>
      <c r="L11" s="38"/>
      <c r="M11" s="41"/>
      <c r="N11" s="38"/>
      <c r="O11" s="41"/>
      <c r="P11" s="41"/>
    </row>
    <row r="12" spans="1:16" ht="18" customHeight="1">
      <c r="A12" s="91"/>
      <c r="B12" s="44">
        <v>54</v>
      </c>
      <c r="C12" s="45">
        <v>1094.843</v>
      </c>
      <c r="D12" s="46">
        <v>760.734</v>
      </c>
      <c r="E12" s="54">
        <f>D12/C12*100</f>
        <v>69.48338711577824</v>
      </c>
      <c r="F12" s="48">
        <v>889.842</v>
      </c>
      <c r="G12" s="49">
        <f>F12/C12*100</f>
        <v>81.27576282626823</v>
      </c>
      <c r="H12" s="50">
        <v>639.333</v>
      </c>
      <c r="I12" s="54">
        <f>H12/C12*100</f>
        <v>58.39494795144143</v>
      </c>
      <c r="J12" s="48">
        <v>1069.487</v>
      </c>
      <c r="K12" s="56">
        <f>J12/C12*100</f>
        <v>97.6840515032749</v>
      </c>
      <c r="L12" s="44">
        <v>758</v>
      </c>
      <c r="M12" s="45">
        <v>18.942</v>
      </c>
      <c r="N12" s="44">
        <v>54</v>
      </c>
      <c r="O12" s="45">
        <v>21.148</v>
      </c>
      <c r="P12" s="45">
        <v>383.301</v>
      </c>
    </row>
    <row r="13" spans="1:16" ht="18" customHeight="1">
      <c r="A13" s="91" t="s">
        <v>20</v>
      </c>
      <c r="B13" s="38"/>
      <c r="C13" s="41"/>
      <c r="D13" s="40"/>
      <c r="E13" s="42"/>
      <c r="F13" s="40"/>
      <c r="G13" s="52"/>
      <c r="H13" s="40"/>
      <c r="I13" s="42"/>
      <c r="J13" s="40"/>
      <c r="K13" s="42"/>
      <c r="L13" s="38"/>
      <c r="M13" s="41"/>
      <c r="N13" s="38"/>
      <c r="O13" s="41"/>
      <c r="P13" s="41"/>
    </row>
    <row r="14" spans="1:16" ht="18" customHeight="1">
      <c r="A14" s="91"/>
      <c r="B14" s="44">
        <v>188</v>
      </c>
      <c r="C14" s="45">
        <v>1792.704</v>
      </c>
      <c r="D14" s="46">
        <v>751.976</v>
      </c>
      <c r="E14" s="54">
        <f>D14/C14*100</f>
        <v>41.94646745921246</v>
      </c>
      <c r="F14" s="48">
        <v>1092.532</v>
      </c>
      <c r="G14" s="49">
        <f>F14/C14*100</f>
        <v>60.94324551069222</v>
      </c>
      <c r="H14" s="50">
        <v>594.728</v>
      </c>
      <c r="I14" s="54">
        <f>H14/C14*100</f>
        <v>33.17491342686802</v>
      </c>
      <c r="J14" s="48">
        <v>1665.963</v>
      </c>
      <c r="K14" s="56">
        <f>J14/C14*100</f>
        <v>92.93017698404198</v>
      </c>
      <c r="L14" s="44">
        <v>1020</v>
      </c>
      <c r="M14" s="45">
        <v>16.498</v>
      </c>
      <c r="N14" s="44">
        <v>25</v>
      </c>
      <c r="O14" s="45">
        <v>5.661</v>
      </c>
      <c r="P14" s="45">
        <v>304.237</v>
      </c>
    </row>
    <row r="15" spans="1:16" ht="18" customHeight="1">
      <c r="A15" s="27" t="s">
        <v>56</v>
      </c>
      <c r="B15" s="38"/>
      <c r="C15" s="41"/>
      <c r="D15" s="40"/>
      <c r="E15" s="42"/>
      <c r="F15" s="40"/>
      <c r="G15" s="52"/>
      <c r="H15" s="40"/>
      <c r="I15" s="42"/>
      <c r="J15" s="40"/>
      <c r="K15" s="42"/>
      <c r="L15" s="38"/>
      <c r="M15" s="41"/>
      <c r="N15" s="38"/>
      <c r="O15" s="41"/>
      <c r="P15" s="41"/>
    </row>
    <row r="16" spans="1:16" ht="18" customHeight="1">
      <c r="A16" s="29" t="s">
        <v>55</v>
      </c>
      <c r="B16" s="44">
        <f>B12+B14</f>
        <v>242</v>
      </c>
      <c r="C16" s="45">
        <f>C12+C14</f>
        <v>2887.547</v>
      </c>
      <c r="D16" s="53">
        <f>D12+D14</f>
        <v>1512.71</v>
      </c>
      <c r="E16" s="54">
        <f>D16/C16*100</f>
        <v>52.38737239601641</v>
      </c>
      <c r="F16" s="55">
        <f>F12+F14</f>
        <v>1982.3739999999998</v>
      </c>
      <c r="G16" s="56">
        <f>F16/C16*100</f>
        <v>68.65252756059034</v>
      </c>
      <c r="H16" s="57">
        <f>H12+H14</f>
        <v>1234.061</v>
      </c>
      <c r="I16" s="54">
        <f>H16/C16*100</f>
        <v>42.737347651830426</v>
      </c>
      <c r="J16" s="55">
        <f>J12+J14</f>
        <v>2735.45</v>
      </c>
      <c r="K16" s="56">
        <f>J16/C16*100</f>
        <v>94.73265716540718</v>
      </c>
      <c r="L16" s="44">
        <f>L12+L14</f>
        <v>1778</v>
      </c>
      <c r="M16" s="45">
        <f>M12+M14</f>
        <v>35.44</v>
      </c>
      <c r="N16" s="44">
        <f>N12+N14</f>
        <v>79</v>
      </c>
      <c r="O16" s="45">
        <f>O12+O14</f>
        <v>26.808999999999997</v>
      </c>
      <c r="P16" s="45">
        <f>P12+P14</f>
        <v>687.538</v>
      </c>
    </row>
    <row r="17" spans="1:16" ht="18" customHeight="1">
      <c r="A17" s="69" t="s">
        <v>61</v>
      </c>
      <c r="B17" s="58"/>
      <c r="C17" s="59"/>
      <c r="D17" s="60"/>
      <c r="E17" s="61"/>
      <c r="F17" s="60"/>
      <c r="G17" s="62"/>
      <c r="H17" s="60"/>
      <c r="I17" s="61"/>
      <c r="J17" s="60"/>
      <c r="K17" s="61"/>
      <c r="L17" s="58"/>
      <c r="M17" s="59"/>
      <c r="N17" s="58"/>
      <c r="O17" s="59"/>
      <c r="P17" s="59"/>
    </row>
    <row r="18" spans="1:16" ht="18" customHeight="1">
      <c r="A18" s="29" t="s">
        <v>55</v>
      </c>
      <c r="B18" s="44">
        <f>B10+B16</f>
        <v>260</v>
      </c>
      <c r="C18" s="45">
        <f>C10+C16</f>
        <v>3971.641</v>
      </c>
      <c r="D18" s="53">
        <f>D10+D16</f>
        <v>2484.898</v>
      </c>
      <c r="E18" s="54">
        <f>D18/C18*100</f>
        <v>62.56602749342149</v>
      </c>
      <c r="F18" s="55">
        <f>F10+F16</f>
        <v>2995.4849999999997</v>
      </c>
      <c r="G18" s="56">
        <f>F18/C18*100</f>
        <v>75.4218470400522</v>
      </c>
      <c r="H18" s="57">
        <f>H10+H16</f>
        <v>2165.555</v>
      </c>
      <c r="I18" s="54">
        <f>H18/C18*100</f>
        <v>54.52544678635355</v>
      </c>
      <c r="J18" s="55">
        <f>J10+J16</f>
        <v>3817.207</v>
      </c>
      <c r="K18" s="56">
        <f>J18/C18*100</f>
        <v>96.11158208911631</v>
      </c>
      <c r="L18" s="44">
        <f>L10+L16</f>
        <v>2989</v>
      </c>
      <c r="M18" s="45">
        <f>M10+M16</f>
        <v>96.551</v>
      </c>
      <c r="N18" s="44">
        <f>N10+N16</f>
        <v>219</v>
      </c>
      <c r="O18" s="45">
        <f>O10+O16</f>
        <v>104.92399999999999</v>
      </c>
      <c r="P18" s="45">
        <f>P10+P16</f>
        <v>1394.987</v>
      </c>
    </row>
    <row r="19" spans="1:16" ht="18" customHeight="1">
      <c r="A19" s="27" t="s">
        <v>57</v>
      </c>
      <c r="B19" s="58"/>
      <c r="C19" s="59"/>
      <c r="D19" s="60"/>
      <c r="E19" s="61"/>
      <c r="F19" s="60"/>
      <c r="G19" s="62"/>
      <c r="H19" s="60"/>
      <c r="I19" s="61"/>
      <c r="J19" s="60"/>
      <c r="K19" s="61"/>
      <c r="L19" s="58"/>
      <c r="M19" s="59"/>
      <c r="N19" s="58"/>
      <c r="O19" s="59"/>
      <c r="P19" s="59"/>
    </row>
    <row r="20" spans="1:16" ht="18" customHeight="1">
      <c r="A20" s="29" t="s">
        <v>55</v>
      </c>
      <c r="B20" s="44">
        <f>B8+B16</f>
        <v>255</v>
      </c>
      <c r="C20" s="45">
        <f>C8+C16</f>
        <v>3502.732</v>
      </c>
      <c r="D20" s="53">
        <f>D8+D16</f>
        <v>2015.989</v>
      </c>
      <c r="E20" s="54">
        <f>D20/C20*100</f>
        <v>57.55476011296325</v>
      </c>
      <c r="F20" s="55">
        <f>F8+F16</f>
        <v>2526.576</v>
      </c>
      <c r="G20" s="56">
        <f>F20/C20*100</f>
        <v>72.13158186238627</v>
      </c>
      <c r="H20" s="57">
        <f>H8+H16</f>
        <v>1696.646</v>
      </c>
      <c r="I20" s="54">
        <f>H20/C20*100</f>
        <v>48.437790844403736</v>
      </c>
      <c r="J20" s="55">
        <f>J8+J16</f>
        <v>3348.298</v>
      </c>
      <c r="K20" s="56">
        <f>J20/C20*100</f>
        <v>95.59104150702936</v>
      </c>
      <c r="L20" s="44">
        <f>L8+L16</f>
        <v>2348</v>
      </c>
      <c r="M20" s="45">
        <f>M8+M16</f>
        <v>56.30499999999999</v>
      </c>
      <c r="N20" s="44">
        <f>N8+N16</f>
        <v>167</v>
      </c>
      <c r="O20" s="45">
        <f>O8+O16</f>
        <v>76.425</v>
      </c>
      <c r="P20" s="45">
        <f>P8+P16</f>
        <v>1054.039</v>
      </c>
    </row>
    <row r="21" spans="1:16" ht="18" customHeight="1">
      <c r="A21" s="91" t="s">
        <v>24</v>
      </c>
      <c r="B21" s="38"/>
      <c r="C21" s="41"/>
      <c r="D21" s="40"/>
      <c r="E21" s="42"/>
      <c r="F21" s="40"/>
      <c r="G21" s="52"/>
      <c r="H21" s="40"/>
      <c r="I21" s="42"/>
      <c r="J21" s="40"/>
      <c r="K21" s="42"/>
      <c r="L21" s="38"/>
      <c r="M21" s="41"/>
      <c r="N21" s="38"/>
      <c r="O21" s="41"/>
      <c r="P21" s="41"/>
    </row>
    <row r="22" spans="1:16" ht="18" customHeight="1">
      <c r="A22" s="91"/>
      <c r="B22" s="44">
        <v>1066</v>
      </c>
      <c r="C22" s="45">
        <v>1564.748</v>
      </c>
      <c r="D22" s="53">
        <v>587.831</v>
      </c>
      <c r="E22" s="54">
        <f>D22/C22*100</f>
        <v>37.567135410941574</v>
      </c>
      <c r="F22" s="55">
        <v>1257.234</v>
      </c>
      <c r="G22" s="56">
        <f>F22/C22*100</f>
        <v>80.34737861943265</v>
      </c>
      <c r="H22" s="57">
        <v>305.793</v>
      </c>
      <c r="I22" s="54">
        <f>H22/C22*100</f>
        <v>19.542635619281825</v>
      </c>
      <c r="J22" s="55">
        <v>1508.781</v>
      </c>
      <c r="K22" s="56">
        <f>J22/C22*100</f>
        <v>96.42325793035043</v>
      </c>
      <c r="L22" s="44">
        <v>1150</v>
      </c>
      <c r="M22" s="45">
        <v>20.047</v>
      </c>
      <c r="N22" s="44">
        <v>19</v>
      </c>
      <c r="O22" s="45">
        <v>4.648</v>
      </c>
      <c r="P22" s="45">
        <v>300.652</v>
      </c>
    </row>
    <row r="23" spans="1:16" ht="18" customHeight="1">
      <c r="A23" s="91" t="s">
        <v>25</v>
      </c>
      <c r="B23" s="38"/>
      <c r="C23" s="41"/>
      <c r="D23" s="40"/>
      <c r="E23" s="42"/>
      <c r="F23" s="40"/>
      <c r="G23" s="52"/>
      <c r="H23" s="40"/>
      <c r="I23" s="42"/>
      <c r="J23" s="40"/>
      <c r="K23" s="42"/>
      <c r="L23" s="38"/>
      <c r="M23" s="41"/>
      <c r="N23" s="38"/>
      <c r="O23" s="41"/>
      <c r="P23" s="41"/>
    </row>
    <row r="24" spans="1:16" ht="18" customHeight="1">
      <c r="A24" s="91"/>
      <c r="B24" s="44">
        <v>1395</v>
      </c>
      <c r="C24" s="45">
        <v>1644.372</v>
      </c>
      <c r="D24" s="53">
        <v>238.103</v>
      </c>
      <c r="E24" s="54">
        <f>D24/C24*100</f>
        <v>14.47987438365528</v>
      </c>
      <c r="F24" s="55">
        <v>1070.15</v>
      </c>
      <c r="G24" s="56">
        <f>F24/C24*100</f>
        <v>65.07955620747617</v>
      </c>
      <c r="H24" s="57">
        <v>148.538</v>
      </c>
      <c r="I24" s="54">
        <f>H24/C24*100</f>
        <v>9.033114161515764</v>
      </c>
      <c r="J24" s="55">
        <v>1553.155</v>
      </c>
      <c r="K24" s="56">
        <f>J24/C24*100</f>
        <v>94.45277589255959</v>
      </c>
      <c r="L24" s="44">
        <v>1224</v>
      </c>
      <c r="M24" s="45">
        <v>13.753</v>
      </c>
      <c r="N24" s="44">
        <v>4</v>
      </c>
      <c r="O24" s="45">
        <v>0.64</v>
      </c>
      <c r="P24" s="45">
        <v>76.754</v>
      </c>
    </row>
    <row r="25" spans="1:16" ht="18" customHeight="1">
      <c r="A25" s="27" t="s">
        <v>58</v>
      </c>
      <c r="B25" s="38"/>
      <c r="C25" s="41"/>
      <c r="D25" s="40"/>
      <c r="E25" s="42"/>
      <c r="F25" s="40"/>
      <c r="G25" s="52"/>
      <c r="H25" s="40"/>
      <c r="I25" s="42"/>
      <c r="J25" s="40"/>
      <c r="K25" s="42"/>
      <c r="L25" s="38"/>
      <c r="M25" s="41"/>
      <c r="N25" s="38"/>
      <c r="O25" s="41"/>
      <c r="P25" s="41"/>
    </row>
    <row r="26" spans="1:16" ht="18" customHeight="1">
      <c r="A26" s="29" t="s">
        <v>59</v>
      </c>
      <c r="B26" s="44">
        <f>B22+B24</f>
        <v>2461</v>
      </c>
      <c r="C26" s="45">
        <f>C22+C24</f>
        <v>3209.12</v>
      </c>
      <c r="D26" s="53">
        <f>D22+D24</f>
        <v>825.934</v>
      </c>
      <c r="E26" s="54">
        <f>D26/C26*100</f>
        <v>25.737086802612552</v>
      </c>
      <c r="F26" s="55">
        <f>F22+F24</f>
        <v>2327.384</v>
      </c>
      <c r="G26" s="56">
        <f>F26/C26*100</f>
        <v>72.52405643914844</v>
      </c>
      <c r="H26" s="57">
        <f>H22+H24</f>
        <v>454.331</v>
      </c>
      <c r="I26" s="54">
        <f>H26/C26*100</f>
        <v>14.157494889564742</v>
      </c>
      <c r="J26" s="55">
        <f>J22+J24</f>
        <v>3061.9359999999997</v>
      </c>
      <c r="K26" s="56">
        <f>J26/C26*100</f>
        <v>95.41357132173306</v>
      </c>
      <c r="L26" s="44">
        <f>L22+L24</f>
        <v>2374</v>
      </c>
      <c r="M26" s="45">
        <f>M22+M24</f>
        <v>33.8</v>
      </c>
      <c r="N26" s="44">
        <f>N22+N24</f>
        <v>23</v>
      </c>
      <c r="O26" s="45">
        <f>O22+O24</f>
        <v>5.287999999999999</v>
      </c>
      <c r="P26" s="45">
        <f>P22+P24</f>
        <v>377.406</v>
      </c>
    </row>
    <row r="27" spans="1:16" ht="18" customHeight="1">
      <c r="A27" s="90" t="s">
        <v>30</v>
      </c>
      <c r="B27" s="38"/>
      <c r="C27" s="41"/>
      <c r="D27" s="40"/>
      <c r="E27" s="42"/>
      <c r="F27" s="40"/>
      <c r="G27" s="52"/>
      <c r="H27" s="40"/>
      <c r="I27" s="42"/>
      <c r="J27" s="40"/>
      <c r="K27" s="42"/>
      <c r="L27" s="38"/>
      <c r="M27" s="41"/>
      <c r="N27" s="38"/>
      <c r="O27" s="41"/>
      <c r="P27" s="41"/>
    </row>
    <row r="28" spans="1:16" ht="18" customHeight="1">
      <c r="A28" s="90"/>
      <c r="B28" s="44">
        <v>26934</v>
      </c>
      <c r="C28" s="45">
        <v>11045.364</v>
      </c>
      <c r="D28" s="53">
        <v>790.866</v>
      </c>
      <c r="E28" s="54">
        <f>D28/C28*100</f>
        <v>7.160162399355966</v>
      </c>
      <c r="F28" s="55">
        <v>4990.33</v>
      </c>
      <c r="G28" s="56">
        <f>F28/C28*100</f>
        <v>45.18031275383953</v>
      </c>
      <c r="H28" s="57">
        <v>1378.718</v>
      </c>
      <c r="I28" s="54">
        <f>H28/C28*100</f>
        <v>12.48232290035892</v>
      </c>
      <c r="J28" s="55">
        <v>9098.778</v>
      </c>
      <c r="K28" s="56">
        <f>J28/C28*100</f>
        <v>82.37644318467007</v>
      </c>
      <c r="L28" s="44">
        <v>6846</v>
      </c>
      <c r="M28" s="45">
        <v>62.006</v>
      </c>
      <c r="N28" s="44">
        <v>39</v>
      </c>
      <c r="O28" s="45">
        <v>7.48</v>
      </c>
      <c r="P28" s="45">
        <v>211.109</v>
      </c>
    </row>
    <row r="29" spans="1:16" ht="18" customHeight="1">
      <c r="A29" s="27" t="s">
        <v>60</v>
      </c>
      <c r="B29" s="38"/>
      <c r="C29" s="41"/>
      <c r="D29" s="40"/>
      <c r="E29" s="42"/>
      <c r="F29" s="40"/>
      <c r="G29" s="52"/>
      <c r="H29" s="40"/>
      <c r="I29" s="42"/>
      <c r="J29" s="40"/>
      <c r="K29" s="42"/>
      <c r="L29" s="38"/>
      <c r="M29" s="41"/>
      <c r="N29" s="38"/>
      <c r="O29" s="41"/>
      <c r="P29" s="41"/>
    </row>
    <row r="30" spans="1:16" ht="18" customHeight="1">
      <c r="A30" s="29" t="s">
        <v>55</v>
      </c>
      <c r="B30" s="44">
        <f>B26+B28</f>
        <v>29395</v>
      </c>
      <c r="C30" s="45">
        <f>C26+C28</f>
        <v>14254.484</v>
      </c>
      <c r="D30" s="53">
        <f>D26+D28</f>
        <v>1616.8</v>
      </c>
      <c r="E30" s="54">
        <f>D30/C30*100</f>
        <v>11.342395838390221</v>
      </c>
      <c r="F30" s="55">
        <f>F26+F28</f>
        <v>7317.714</v>
      </c>
      <c r="G30" s="56">
        <f>F30/C30*100</f>
        <v>51.336225148521685</v>
      </c>
      <c r="H30" s="57">
        <f>H26+H28</f>
        <v>1833.049</v>
      </c>
      <c r="I30" s="54">
        <f>H30/C30*100</f>
        <v>12.859455312447649</v>
      </c>
      <c r="J30" s="55">
        <f>J26+J28</f>
        <v>12160.714</v>
      </c>
      <c r="K30" s="56">
        <f>J30/C30*100</f>
        <v>85.31149917457552</v>
      </c>
      <c r="L30" s="44">
        <f>L26+L28</f>
        <v>9220</v>
      </c>
      <c r="M30" s="45">
        <f>M26+M28</f>
        <v>95.806</v>
      </c>
      <c r="N30" s="44">
        <f>N26+N28</f>
        <v>62</v>
      </c>
      <c r="O30" s="45">
        <f>O26+O28</f>
        <v>12.768</v>
      </c>
      <c r="P30" s="45">
        <f>P26+P28</f>
        <v>588.515</v>
      </c>
    </row>
    <row r="31" spans="1:16" ht="18" customHeight="1">
      <c r="A31" s="91" t="s">
        <v>28</v>
      </c>
      <c r="B31" s="38"/>
      <c r="C31" s="41"/>
      <c r="D31" s="40"/>
      <c r="E31" s="42"/>
      <c r="F31" s="40"/>
      <c r="G31" s="52"/>
      <c r="H31" s="40"/>
      <c r="I31" s="42"/>
      <c r="J31" s="40"/>
      <c r="K31" s="42"/>
      <c r="L31" s="38"/>
      <c r="M31" s="41"/>
      <c r="N31" s="38"/>
      <c r="O31" s="41"/>
      <c r="P31" s="41"/>
    </row>
    <row r="32" spans="1:16" ht="18" customHeight="1">
      <c r="A32" s="91"/>
      <c r="B32" s="44">
        <f>B18+B30</f>
        <v>29655</v>
      </c>
      <c r="C32" s="45">
        <f>C18+C30</f>
        <v>18226.125</v>
      </c>
      <c r="D32" s="53">
        <f>D18+D30</f>
        <v>4101.698</v>
      </c>
      <c r="E32" s="54">
        <f>D32/C32*100</f>
        <v>22.50449835058193</v>
      </c>
      <c r="F32" s="55">
        <f>F18+F30</f>
        <v>10313.199</v>
      </c>
      <c r="G32" s="56">
        <f>F32/C32*100</f>
        <v>56.58470464786125</v>
      </c>
      <c r="H32" s="57">
        <f>H18+H30</f>
        <v>3998.604</v>
      </c>
      <c r="I32" s="54">
        <f>H32/C32*100</f>
        <v>21.93885974116824</v>
      </c>
      <c r="J32" s="55">
        <f>J18+J30</f>
        <v>15977.921</v>
      </c>
      <c r="K32" s="56">
        <f>J32/C32*100</f>
        <v>87.66493700663196</v>
      </c>
      <c r="L32" s="44">
        <f>L18+L30</f>
        <v>12209</v>
      </c>
      <c r="M32" s="45">
        <f>M18+M30</f>
        <v>192.357</v>
      </c>
      <c r="N32" s="44">
        <f>N18+N30</f>
        <v>281</v>
      </c>
      <c r="O32" s="45">
        <f>O18+O30</f>
        <v>117.692</v>
      </c>
      <c r="P32" s="45">
        <f>P18+P30</f>
        <v>1983.502</v>
      </c>
    </row>
    <row r="33" spans="1:16" ht="14.25" customHeight="1">
      <c r="A33" s="31" t="s">
        <v>31</v>
      </c>
      <c r="B33" s="33"/>
      <c r="C33" s="39"/>
      <c r="D33" s="39"/>
      <c r="E33" s="34"/>
      <c r="F33" s="39"/>
      <c r="G33" s="34"/>
      <c r="H33" s="39"/>
      <c r="I33" s="34"/>
      <c r="J33" s="39"/>
      <c r="K33" s="34"/>
      <c r="L33" s="35"/>
      <c r="M33" s="37"/>
      <c r="N33" s="35"/>
      <c r="O33" s="37"/>
      <c r="P33" s="37"/>
    </row>
    <row r="34" ht="13.5">
      <c r="A34" s="31" t="s">
        <v>32</v>
      </c>
    </row>
    <row r="35" ht="13.5">
      <c r="A35" s="31" t="s">
        <v>33</v>
      </c>
    </row>
    <row r="36" ht="13.5">
      <c r="A36" s="31" t="s">
        <v>34</v>
      </c>
    </row>
    <row r="37" ht="13.5">
      <c r="A37" s="31" t="s">
        <v>35</v>
      </c>
    </row>
    <row r="38" ht="13.5">
      <c r="A38" s="31" t="s">
        <v>41</v>
      </c>
    </row>
  </sheetData>
  <sheetProtection/>
  <mergeCells count="24">
    <mergeCell ref="A27:A28"/>
    <mergeCell ref="A31:A32"/>
    <mergeCell ref="D4:E4"/>
    <mergeCell ref="H4:I4"/>
    <mergeCell ref="A11:A12"/>
    <mergeCell ref="A13:A14"/>
    <mergeCell ref="A21:A22"/>
    <mergeCell ref="A23:A24"/>
    <mergeCell ref="H3:I3"/>
    <mergeCell ref="J3:K4"/>
    <mergeCell ref="L3:L4"/>
    <mergeCell ref="M3:M4"/>
    <mergeCell ref="N3:N4"/>
    <mergeCell ref="O3:O4"/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B6" sqref="B6"/>
    </sheetView>
  </sheetViews>
  <sheetFormatPr defaultColWidth="8.875" defaultRowHeight="13.5"/>
  <cols>
    <col min="1" max="1" width="14.25390625" style="14" customWidth="1"/>
    <col min="2" max="2" width="8.875" style="32" customWidth="1"/>
    <col min="3" max="3" width="9.875" style="36" customWidth="1"/>
    <col min="4" max="4" width="14.75390625" style="36" customWidth="1"/>
    <col min="5" max="5" width="13.125" style="32" customWidth="1"/>
    <col min="6" max="6" width="10.75390625" style="36" customWidth="1"/>
    <col min="7" max="7" width="9.75390625" style="32" customWidth="1"/>
    <col min="8" max="8" width="14.75390625" style="36" customWidth="1"/>
    <col min="9" max="9" width="13.125" style="32" customWidth="1"/>
    <col min="10" max="10" width="10.75390625" style="36" customWidth="1"/>
    <col min="11" max="11" width="10.25390625" style="32" customWidth="1"/>
    <col min="12" max="12" width="8.875" style="32" customWidth="1"/>
    <col min="13" max="13" width="7.75390625" style="36" bestFit="1" customWidth="1"/>
    <col min="14" max="14" width="8.875" style="32" customWidth="1"/>
    <col min="15" max="15" width="9.00390625" style="36" bestFit="1" customWidth="1"/>
    <col min="16" max="16" width="9.625" style="36" bestFit="1" customWidth="1"/>
    <col min="17" max="16384" width="8.875" style="32" customWidth="1"/>
  </cols>
  <sheetData>
    <row r="1" spans="1:16" ht="36" customHeight="1">
      <c r="A1" s="75" t="s">
        <v>93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5.5" customHeight="1">
      <c r="A2" s="76" t="s">
        <v>0</v>
      </c>
      <c r="B2" s="76" t="s">
        <v>1</v>
      </c>
      <c r="C2" s="78" t="s">
        <v>2</v>
      </c>
      <c r="D2" s="80" t="s">
        <v>3</v>
      </c>
      <c r="E2" s="80"/>
      <c r="F2" s="80"/>
      <c r="G2" s="80"/>
      <c r="H2" s="80" t="s">
        <v>4</v>
      </c>
      <c r="I2" s="80"/>
      <c r="J2" s="80"/>
      <c r="K2" s="80"/>
      <c r="L2" s="76" t="s">
        <v>5</v>
      </c>
      <c r="M2" s="76"/>
      <c r="N2" s="76" t="s">
        <v>6</v>
      </c>
      <c r="O2" s="76"/>
      <c r="P2" s="27" t="s">
        <v>7</v>
      </c>
    </row>
    <row r="3" spans="1:16" ht="13.5">
      <c r="A3" s="76"/>
      <c r="B3" s="76"/>
      <c r="C3" s="79"/>
      <c r="D3" s="81"/>
      <c r="E3" s="82"/>
      <c r="F3" s="82" t="s">
        <v>8</v>
      </c>
      <c r="G3" s="83"/>
      <c r="H3" s="86"/>
      <c r="I3" s="87"/>
      <c r="J3" s="82" t="s">
        <v>9</v>
      </c>
      <c r="K3" s="83"/>
      <c r="L3" s="88" t="s">
        <v>10</v>
      </c>
      <c r="M3" s="80" t="s">
        <v>11</v>
      </c>
      <c r="N3" s="76" t="s">
        <v>10</v>
      </c>
      <c r="O3" s="80" t="s">
        <v>11</v>
      </c>
      <c r="P3" s="28" t="s">
        <v>12</v>
      </c>
    </row>
    <row r="4" spans="1:16" ht="13.5">
      <c r="A4" s="76"/>
      <c r="B4" s="77"/>
      <c r="C4" s="79"/>
      <c r="D4" s="81" t="s">
        <v>13</v>
      </c>
      <c r="E4" s="83"/>
      <c r="F4" s="84"/>
      <c r="G4" s="85"/>
      <c r="H4" s="81" t="s">
        <v>14</v>
      </c>
      <c r="I4" s="83"/>
      <c r="J4" s="84"/>
      <c r="K4" s="85"/>
      <c r="L4" s="89"/>
      <c r="M4" s="78"/>
      <c r="N4" s="77"/>
      <c r="O4" s="78"/>
      <c r="P4" s="29" t="s">
        <v>15</v>
      </c>
    </row>
    <row r="5" spans="1:16" ht="18" customHeight="1">
      <c r="A5" s="64" t="s">
        <v>52</v>
      </c>
      <c r="B5" s="38"/>
      <c r="C5" s="41"/>
      <c r="D5" s="66"/>
      <c r="E5" s="73"/>
      <c r="F5" s="73"/>
      <c r="G5" s="74"/>
      <c r="H5" s="66"/>
      <c r="I5" s="73"/>
      <c r="J5" s="73"/>
      <c r="K5" s="73"/>
      <c r="L5" s="38"/>
      <c r="M5" s="41"/>
      <c r="N5" s="38"/>
      <c r="O5" s="41"/>
      <c r="P5" s="41"/>
    </row>
    <row r="6" spans="1:16" ht="18" customHeight="1">
      <c r="A6" s="65" t="s">
        <v>53</v>
      </c>
      <c r="B6" s="44">
        <v>6</v>
      </c>
      <c r="C6" s="45">
        <f>468642/1000</f>
        <v>468.642</v>
      </c>
      <c r="D6" s="53">
        <f>468642/1000</f>
        <v>468.642</v>
      </c>
      <c r="E6" s="54">
        <f>D6/C6*100</f>
        <v>100</v>
      </c>
      <c r="F6" s="55">
        <f>468642/1000</f>
        <v>468.642</v>
      </c>
      <c r="G6" s="56">
        <f>F6/C6*100</f>
        <v>100</v>
      </c>
      <c r="H6" s="57">
        <f>468642/1000</f>
        <v>468.642</v>
      </c>
      <c r="I6" s="54">
        <f>H6/C6*100</f>
        <v>100</v>
      </c>
      <c r="J6" s="55">
        <f>468642/1000</f>
        <v>468.642</v>
      </c>
      <c r="K6" s="56">
        <f>J6/C6*100</f>
        <v>100</v>
      </c>
      <c r="L6" s="44">
        <v>642</v>
      </c>
      <c r="M6" s="45">
        <f>40073/1000</f>
        <v>40.073</v>
      </c>
      <c r="N6" s="44">
        <v>52</v>
      </c>
      <c r="O6" s="45">
        <f>28499/1000</f>
        <v>28.499</v>
      </c>
      <c r="P6" s="45">
        <f>341568/1000</f>
        <v>341.568</v>
      </c>
    </row>
    <row r="7" spans="1:16" ht="18" customHeight="1">
      <c r="A7" s="27" t="s">
        <v>52</v>
      </c>
      <c r="B7" s="38"/>
      <c r="C7" s="41"/>
      <c r="D7" s="40"/>
      <c r="E7" s="61"/>
      <c r="F7" s="40"/>
      <c r="G7" s="62"/>
      <c r="H7" s="40"/>
      <c r="I7" s="61"/>
      <c r="J7" s="40"/>
      <c r="K7" s="61"/>
      <c r="L7" s="38"/>
      <c r="M7" s="41"/>
      <c r="N7" s="38"/>
      <c r="O7" s="41"/>
      <c r="P7" s="41"/>
    </row>
    <row r="8" spans="1:16" ht="18" customHeight="1">
      <c r="A8" s="70" t="s">
        <v>62</v>
      </c>
      <c r="B8" s="44">
        <v>13</v>
      </c>
      <c r="C8" s="45">
        <v>615.15</v>
      </c>
      <c r="D8" s="46">
        <v>502.69</v>
      </c>
      <c r="E8" s="54">
        <f>D8/C8*100</f>
        <v>81.71828009428594</v>
      </c>
      <c r="F8" s="48">
        <v>543.633</v>
      </c>
      <c r="G8" s="49">
        <f>F8/C8*100</f>
        <v>88.37405510851013</v>
      </c>
      <c r="H8" s="50">
        <v>462.15</v>
      </c>
      <c r="I8" s="54">
        <f>H8/C8*100</f>
        <v>75.1280175566935</v>
      </c>
      <c r="J8" s="48">
        <v>612.808</v>
      </c>
      <c r="K8" s="56">
        <f>J8/C8*100</f>
        <v>99.619279850443</v>
      </c>
      <c r="L8" s="44">
        <v>571</v>
      </c>
      <c r="M8" s="45">
        <v>20.872</v>
      </c>
      <c r="N8" s="44">
        <v>88</v>
      </c>
      <c r="O8" s="45">
        <v>49.6159</v>
      </c>
      <c r="P8" s="45">
        <v>366.241</v>
      </c>
    </row>
    <row r="9" spans="1:16" ht="18" customHeight="1">
      <c r="A9" s="27" t="s">
        <v>52</v>
      </c>
      <c r="B9" s="38"/>
      <c r="C9" s="41"/>
      <c r="D9" s="40"/>
      <c r="E9" s="42"/>
      <c r="F9" s="40"/>
      <c r="G9" s="52"/>
      <c r="H9" s="40"/>
      <c r="I9" s="42"/>
      <c r="J9" s="40"/>
      <c r="K9" s="42"/>
      <c r="L9" s="38"/>
      <c r="M9" s="41"/>
      <c r="N9" s="38"/>
      <c r="O9" s="41"/>
      <c r="P9" s="41"/>
    </row>
    <row r="10" spans="1:16" ht="18" customHeight="1">
      <c r="A10" s="29" t="s">
        <v>55</v>
      </c>
      <c r="B10" s="44">
        <f>B6+B8-1</f>
        <v>18</v>
      </c>
      <c r="C10" s="45">
        <f>C6+C8</f>
        <v>1083.792</v>
      </c>
      <c r="D10" s="53">
        <f>D6+D8</f>
        <v>971.332</v>
      </c>
      <c r="E10" s="54">
        <f>D10/C10*100</f>
        <v>89.62347018616119</v>
      </c>
      <c r="F10" s="55">
        <f>F6+F8</f>
        <v>1012.2750000000001</v>
      </c>
      <c r="G10" s="56">
        <f>F10/C10*100</f>
        <v>93.40122458922009</v>
      </c>
      <c r="H10" s="57">
        <f>H6+H8</f>
        <v>930.7919999999999</v>
      </c>
      <c r="I10" s="54">
        <f>H10/C10*100</f>
        <v>85.88290003986005</v>
      </c>
      <c r="J10" s="55">
        <f>J6+J8</f>
        <v>1081.45</v>
      </c>
      <c r="K10" s="56">
        <f>J10/C10*100</f>
        <v>99.78390687511997</v>
      </c>
      <c r="L10" s="44">
        <f>L6+L8</f>
        <v>1213</v>
      </c>
      <c r="M10" s="45">
        <f>M6+M8</f>
        <v>60.945</v>
      </c>
      <c r="N10" s="44">
        <f>N6+N8</f>
        <v>140</v>
      </c>
      <c r="O10" s="45">
        <f>O6+O8</f>
        <v>78.1149</v>
      </c>
      <c r="P10" s="45">
        <f>P6+P8</f>
        <v>707.809</v>
      </c>
    </row>
    <row r="11" spans="1:16" ht="18" customHeight="1">
      <c r="A11" s="91" t="s">
        <v>19</v>
      </c>
      <c r="B11" s="38"/>
      <c r="C11" s="41"/>
      <c r="D11" s="40"/>
      <c r="E11" s="42"/>
      <c r="F11" s="40"/>
      <c r="G11" s="52"/>
      <c r="H11" s="40"/>
      <c r="I11" s="42"/>
      <c r="J11" s="40"/>
      <c r="K11" s="42"/>
      <c r="L11" s="38"/>
      <c r="M11" s="41"/>
      <c r="N11" s="38"/>
      <c r="O11" s="41"/>
      <c r="P11" s="41"/>
    </row>
    <row r="12" spans="1:16" ht="18" customHeight="1">
      <c r="A12" s="91"/>
      <c r="B12" s="44">
        <v>54</v>
      </c>
      <c r="C12" s="45">
        <v>1094.493</v>
      </c>
      <c r="D12" s="46">
        <v>759.822</v>
      </c>
      <c r="E12" s="54">
        <f>D12/C12*100</f>
        <v>69.42228045314131</v>
      </c>
      <c r="F12" s="48">
        <v>888.456</v>
      </c>
      <c r="G12" s="49">
        <f>F12/C12*100</f>
        <v>81.17511943886348</v>
      </c>
      <c r="H12" s="50">
        <v>637.734</v>
      </c>
      <c r="I12" s="54">
        <f>H12/C12*100</f>
        <v>58.26752660821038</v>
      </c>
      <c r="J12" s="48">
        <v>1069.137</v>
      </c>
      <c r="K12" s="56">
        <f>J12/C12*100</f>
        <v>97.68331090285639</v>
      </c>
      <c r="L12" s="44">
        <v>760</v>
      </c>
      <c r="M12" s="45">
        <v>18.945</v>
      </c>
      <c r="N12" s="44">
        <v>54</v>
      </c>
      <c r="O12" s="45">
        <v>21.1463</v>
      </c>
      <c r="P12" s="45">
        <v>382.994</v>
      </c>
    </row>
    <row r="13" spans="1:16" ht="18" customHeight="1">
      <c r="A13" s="91" t="s">
        <v>20</v>
      </c>
      <c r="B13" s="38"/>
      <c r="C13" s="41"/>
      <c r="D13" s="40"/>
      <c r="E13" s="42"/>
      <c r="F13" s="40"/>
      <c r="G13" s="52"/>
      <c r="H13" s="40"/>
      <c r="I13" s="42"/>
      <c r="J13" s="40"/>
      <c r="K13" s="42"/>
      <c r="L13" s="38"/>
      <c r="M13" s="41"/>
      <c r="N13" s="38"/>
      <c r="O13" s="41"/>
      <c r="P13" s="41"/>
    </row>
    <row r="14" spans="1:16" ht="18" customHeight="1">
      <c r="A14" s="91"/>
      <c r="B14" s="44">
        <v>189</v>
      </c>
      <c r="C14" s="45">
        <v>1791.515</v>
      </c>
      <c r="D14" s="46">
        <v>746.807</v>
      </c>
      <c r="E14" s="54">
        <f>D14/C14*100</f>
        <v>41.685779912532126</v>
      </c>
      <c r="F14" s="48">
        <v>1087.064</v>
      </c>
      <c r="G14" s="49">
        <f>F14/C14*100</f>
        <v>60.67847603843675</v>
      </c>
      <c r="H14" s="50">
        <v>589.448</v>
      </c>
      <c r="I14" s="54">
        <f>H14/C14*100</f>
        <v>32.902208466018976</v>
      </c>
      <c r="J14" s="48">
        <v>1664.759</v>
      </c>
      <c r="K14" s="56">
        <f>J14/C14*100</f>
        <v>92.92464757481795</v>
      </c>
      <c r="L14" s="44">
        <v>1025</v>
      </c>
      <c r="M14" s="45">
        <v>16.519</v>
      </c>
      <c r="N14" s="44">
        <v>24</v>
      </c>
      <c r="O14" s="45">
        <v>5.242</v>
      </c>
      <c r="P14" s="45">
        <v>300.553</v>
      </c>
    </row>
    <row r="15" spans="1:16" ht="18" customHeight="1">
      <c r="A15" s="27" t="s">
        <v>56</v>
      </c>
      <c r="B15" s="38"/>
      <c r="C15" s="41"/>
      <c r="D15" s="40"/>
      <c r="E15" s="42"/>
      <c r="F15" s="40"/>
      <c r="G15" s="52"/>
      <c r="H15" s="40"/>
      <c r="I15" s="42"/>
      <c r="J15" s="40"/>
      <c r="K15" s="42"/>
      <c r="L15" s="38"/>
      <c r="M15" s="41"/>
      <c r="N15" s="38"/>
      <c r="O15" s="41"/>
      <c r="P15" s="41"/>
    </row>
    <row r="16" spans="1:16" ht="18" customHeight="1">
      <c r="A16" s="29" t="s">
        <v>55</v>
      </c>
      <c r="B16" s="44">
        <f>B12+B14</f>
        <v>243</v>
      </c>
      <c r="C16" s="45">
        <f>C12+C14</f>
        <v>2886.008</v>
      </c>
      <c r="D16" s="53">
        <f>D12+D14</f>
        <v>1506.629</v>
      </c>
      <c r="E16" s="54">
        <f>D16/C16*100</f>
        <v>52.20460234344465</v>
      </c>
      <c r="F16" s="55">
        <f>F12+F14</f>
        <v>1975.52</v>
      </c>
      <c r="G16" s="56">
        <f>F16/C16*100</f>
        <v>68.45164670368204</v>
      </c>
      <c r="H16" s="57">
        <f>H12+H14</f>
        <v>1227.182</v>
      </c>
      <c r="I16" s="54">
        <f>H16/C16*100</f>
        <v>42.52178095140416</v>
      </c>
      <c r="J16" s="55">
        <f>J12+J14</f>
        <v>2733.8959999999997</v>
      </c>
      <c r="K16" s="56">
        <f>J16/C16*100</f>
        <v>94.72932853962982</v>
      </c>
      <c r="L16" s="44">
        <f>L12+L14</f>
        <v>1785</v>
      </c>
      <c r="M16" s="45">
        <f>M12+M14</f>
        <v>35.464</v>
      </c>
      <c r="N16" s="44">
        <f>N12+N14</f>
        <v>78</v>
      </c>
      <c r="O16" s="45">
        <f>O12+O14</f>
        <v>26.3883</v>
      </c>
      <c r="P16" s="45">
        <f>P12+P14</f>
        <v>683.547</v>
      </c>
    </row>
    <row r="17" spans="1:16" ht="18" customHeight="1">
      <c r="A17" s="69" t="s">
        <v>61</v>
      </c>
      <c r="B17" s="58"/>
      <c r="C17" s="59"/>
      <c r="D17" s="60"/>
      <c r="E17" s="61"/>
      <c r="F17" s="60"/>
      <c r="G17" s="62"/>
      <c r="H17" s="60"/>
      <c r="I17" s="61"/>
      <c r="J17" s="60"/>
      <c r="K17" s="61"/>
      <c r="L17" s="58"/>
      <c r="M17" s="59"/>
      <c r="N17" s="58"/>
      <c r="O17" s="59"/>
      <c r="P17" s="59"/>
    </row>
    <row r="18" spans="1:16" ht="18" customHeight="1">
      <c r="A18" s="29" t="s">
        <v>55</v>
      </c>
      <c r="B18" s="44">
        <f>B10+B16</f>
        <v>261</v>
      </c>
      <c r="C18" s="45">
        <f>C10+C16</f>
        <v>3969.7999999999997</v>
      </c>
      <c r="D18" s="53">
        <f>D10+D16</f>
        <v>2477.961</v>
      </c>
      <c r="E18" s="54">
        <f>D18/C18*100</f>
        <v>62.4202982518011</v>
      </c>
      <c r="F18" s="55">
        <f>F10+F16</f>
        <v>2987.795</v>
      </c>
      <c r="G18" s="56">
        <f>F18/C18*100</f>
        <v>75.26311149176281</v>
      </c>
      <c r="H18" s="57">
        <f>H10+H16</f>
        <v>2157.974</v>
      </c>
      <c r="I18" s="54">
        <f>H18/C18*100</f>
        <v>54.35976623507482</v>
      </c>
      <c r="J18" s="55">
        <f>J10+J16</f>
        <v>3815.3459999999995</v>
      </c>
      <c r="K18" s="56">
        <f>J18/C18*100</f>
        <v>96.1092750264497</v>
      </c>
      <c r="L18" s="44">
        <f>L10+L16</f>
        <v>2998</v>
      </c>
      <c r="M18" s="45">
        <f>M10+M16</f>
        <v>96.40899999999999</v>
      </c>
      <c r="N18" s="44">
        <f>N10+N16</f>
        <v>218</v>
      </c>
      <c r="O18" s="45">
        <f>O10+O16</f>
        <v>104.5032</v>
      </c>
      <c r="P18" s="45">
        <f>P10+P16</f>
        <v>1391.356</v>
      </c>
    </row>
    <row r="19" spans="1:16" ht="18" customHeight="1">
      <c r="A19" s="27" t="s">
        <v>57</v>
      </c>
      <c r="B19" s="58"/>
      <c r="C19" s="59"/>
      <c r="D19" s="60"/>
      <c r="E19" s="61"/>
      <c r="F19" s="60"/>
      <c r="G19" s="62"/>
      <c r="H19" s="60"/>
      <c r="I19" s="61"/>
      <c r="J19" s="60"/>
      <c r="K19" s="61"/>
      <c r="L19" s="58"/>
      <c r="M19" s="59"/>
      <c r="N19" s="58"/>
      <c r="O19" s="59"/>
      <c r="P19" s="59"/>
    </row>
    <row r="20" spans="1:16" ht="18" customHeight="1">
      <c r="A20" s="29" t="s">
        <v>55</v>
      </c>
      <c r="B20" s="44">
        <f>B8+B16</f>
        <v>256</v>
      </c>
      <c r="C20" s="45">
        <f>C8+C16</f>
        <v>3501.158</v>
      </c>
      <c r="D20" s="53">
        <f>D8+D16</f>
        <v>2009.319</v>
      </c>
      <c r="E20" s="54">
        <f>D20/C20*100</f>
        <v>57.3901263524811</v>
      </c>
      <c r="F20" s="55">
        <f>F8+F16</f>
        <v>2519.1530000000002</v>
      </c>
      <c r="G20" s="56">
        <f>F20/C20*100</f>
        <v>71.95199416878644</v>
      </c>
      <c r="H20" s="57">
        <f>H8+H16</f>
        <v>1689.3319999999999</v>
      </c>
      <c r="I20" s="54">
        <f>H20/C20*100</f>
        <v>48.25066449443298</v>
      </c>
      <c r="J20" s="55">
        <f>J8+J16</f>
        <v>3346.7039999999997</v>
      </c>
      <c r="K20" s="56">
        <f>J20/C20*100</f>
        <v>95.5884881516344</v>
      </c>
      <c r="L20" s="44">
        <f>L8+L16</f>
        <v>2356</v>
      </c>
      <c r="M20" s="45">
        <f>M8+M16</f>
        <v>56.336</v>
      </c>
      <c r="N20" s="44">
        <f>N8+N16</f>
        <v>166</v>
      </c>
      <c r="O20" s="45">
        <f>O8+O16</f>
        <v>76.0042</v>
      </c>
      <c r="P20" s="45">
        <f>P8+P16</f>
        <v>1049.788</v>
      </c>
    </row>
    <row r="21" spans="1:16" ht="18" customHeight="1">
      <c r="A21" s="91" t="s">
        <v>24</v>
      </c>
      <c r="B21" s="38"/>
      <c r="C21" s="41"/>
      <c r="D21" s="40"/>
      <c r="E21" s="42"/>
      <c r="F21" s="40"/>
      <c r="G21" s="52"/>
      <c r="H21" s="40"/>
      <c r="I21" s="42"/>
      <c r="J21" s="40"/>
      <c r="K21" s="42"/>
      <c r="L21" s="38"/>
      <c r="M21" s="41"/>
      <c r="N21" s="38"/>
      <c r="O21" s="41"/>
      <c r="P21" s="41"/>
    </row>
    <row r="22" spans="1:16" ht="18" customHeight="1">
      <c r="A22" s="91"/>
      <c r="B22" s="44">
        <v>1066</v>
      </c>
      <c r="C22" s="45">
        <v>1563.774</v>
      </c>
      <c r="D22" s="53">
        <v>585.205</v>
      </c>
      <c r="E22" s="54">
        <f>D22/C22*100</f>
        <v>37.422607103072444</v>
      </c>
      <c r="F22" s="55">
        <v>1255.737</v>
      </c>
      <c r="G22" s="56">
        <f>F22/C22*100</f>
        <v>80.30169321142314</v>
      </c>
      <c r="H22" s="57">
        <v>304.727</v>
      </c>
      <c r="I22" s="54">
        <f>H22/C22*100</f>
        <v>19.486639373720244</v>
      </c>
      <c r="J22" s="55">
        <v>1507.288</v>
      </c>
      <c r="K22" s="56">
        <f>J22/C22*100</f>
        <v>96.38784120979119</v>
      </c>
      <c r="L22" s="44">
        <v>1158</v>
      </c>
      <c r="M22" s="45">
        <v>20.027</v>
      </c>
      <c r="N22" s="44">
        <v>19</v>
      </c>
      <c r="O22" s="45">
        <v>4.648</v>
      </c>
      <c r="P22" s="45">
        <v>296.658</v>
      </c>
    </row>
    <row r="23" spans="1:16" ht="18" customHeight="1">
      <c r="A23" s="91" t="s">
        <v>25</v>
      </c>
      <c r="B23" s="38"/>
      <c r="C23" s="41"/>
      <c r="D23" s="40"/>
      <c r="E23" s="42"/>
      <c r="F23" s="40"/>
      <c r="G23" s="52"/>
      <c r="H23" s="40"/>
      <c r="I23" s="42"/>
      <c r="J23" s="40"/>
      <c r="K23" s="42"/>
      <c r="L23" s="38"/>
      <c r="M23" s="41"/>
      <c r="N23" s="38"/>
      <c r="O23" s="41"/>
      <c r="P23" s="41"/>
    </row>
    <row r="24" spans="1:16" ht="18" customHeight="1">
      <c r="A24" s="91"/>
      <c r="B24" s="44">
        <v>1396</v>
      </c>
      <c r="C24" s="45">
        <v>1651.494</v>
      </c>
      <c r="D24" s="53">
        <v>236.939</v>
      </c>
      <c r="E24" s="54">
        <f>D24/C24*100</f>
        <v>14.3469488838591</v>
      </c>
      <c r="F24" s="55">
        <v>1070.325</v>
      </c>
      <c r="G24" s="56">
        <f>F24/C24*100</f>
        <v>64.80949976203365</v>
      </c>
      <c r="H24" s="57">
        <v>147.701</v>
      </c>
      <c r="I24" s="54">
        <f>H24/C24*100</f>
        <v>8.943477844908914</v>
      </c>
      <c r="J24" s="55">
        <v>1552.053</v>
      </c>
      <c r="K24" s="56">
        <f>J24/C24*100</f>
        <v>93.97872471834594</v>
      </c>
      <c r="L24" s="44">
        <v>1227</v>
      </c>
      <c r="M24" s="45">
        <v>13.774</v>
      </c>
      <c r="N24" s="44">
        <v>4</v>
      </c>
      <c r="O24" s="45">
        <v>0.64</v>
      </c>
      <c r="P24" s="45">
        <v>76.439</v>
      </c>
    </row>
    <row r="25" spans="1:16" ht="18" customHeight="1">
      <c r="A25" s="27" t="s">
        <v>58</v>
      </c>
      <c r="B25" s="38"/>
      <c r="C25" s="41"/>
      <c r="D25" s="40"/>
      <c r="E25" s="42"/>
      <c r="F25" s="40"/>
      <c r="G25" s="52"/>
      <c r="H25" s="40"/>
      <c r="I25" s="42"/>
      <c r="J25" s="40"/>
      <c r="K25" s="42"/>
      <c r="L25" s="38"/>
      <c r="M25" s="41"/>
      <c r="N25" s="38"/>
      <c r="O25" s="41"/>
      <c r="P25" s="41"/>
    </row>
    <row r="26" spans="1:16" ht="18" customHeight="1">
      <c r="A26" s="29" t="s">
        <v>59</v>
      </c>
      <c r="B26" s="44">
        <f>B22+B24</f>
        <v>2462</v>
      </c>
      <c r="C26" s="45">
        <f>C22+C24</f>
        <v>3215.268</v>
      </c>
      <c r="D26" s="53">
        <f>D22+D24</f>
        <v>822.144</v>
      </c>
      <c r="E26" s="54">
        <f>D26/C26*100</f>
        <v>25.569999141595662</v>
      </c>
      <c r="F26" s="55">
        <f>F22+F24</f>
        <v>2326.062</v>
      </c>
      <c r="G26" s="56">
        <f>F26/C26*100</f>
        <v>72.34426492597196</v>
      </c>
      <c r="H26" s="57">
        <f>H22+H24</f>
        <v>452.428</v>
      </c>
      <c r="I26" s="54">
        <f>H26/C26*100</f>
        <v>14.071237607564907</v>
      </c>
      <c r="J26" s="55">
        <f>J22+J24</f>
        <v>3059.3410000000003</v>
      </c>
      <c r="K26" s="56">
        <f>J26/C26*100</f>
        <v>95.150419809484</v>
      </c>
      <c r="L26" s="44">
        <f>L22+L24</f>
        <v>2385</v>
      </c>
      <c r="M26" s="45">
        <f>M22+M24</f>
        <v>33.801</v>
      </c>
      <c r="N26" s="44">
        <f>N22+N24</f>
        <v>23</v>
      </c>
      <c r="O26" s="45">
        <f>O22+O24</f>
        <v>5.287999999999999</v>
      </c>
      <c r="P26" s="45">
        <f>P22+P24</f>
        <v>373.097</v>
      </c>
    </row>
    <row r="27" spans="1:16" ht="18" customHeight="1">
      <c r="A27" s="90" t="s">
        <v>30</v>
      </c>
      <c r="B27" s="38"/>
      <c r="C27" s="41"/>
      <c r="D27" s="40"/>
      <c r="E27" s="42"/>
      <c r="F27" s="40"/>
      <c r="G27" s="52"/>
      <c r="H27" s="40"/>
      <c r="I27" s="42"/>
      <c r="J27" s="40"/>
      <c r="K27" s="42"/>
      <c r="L27" s="38"/>
      <c r="M27" s="41"/>
      <c r="N27" s="38"/>
      <c r="O27" s="41"/>
      <c r="P27" s="41"/>
    </row>
    <row r="28" spans="1:16" ht="18" customHeight="1">
      <c r="A28" s="90"/>
      <c r="B28" s="44">
        <v>26822</v>
      </c>
      <c r="C28" s="45">
        <v>11027.779</v>
      </c>
      <c r="D28" s="53">
        <v>783.469</v>
      </c>
      <c r="E28" s="54">
        <f>D28/C28*100</f>
        <v>7.10450399849326</v>
      </c>
      <c r="F28" s="55">
        <v>4955.54</v>
      </c>
      <c r="G28" s="56">
        <f>F28/C28*100</f>
        <v>44.93688166946399</v>
      </c>
      <c r="H28" s="57">
        <v>1378.408</v>
      </c>
      <c r="I28" s="54">
        <f>H28/C28*100</f>
        <v>12.499416246916082</v>
      </c>
      <c r="J28" s="55">
        <v>9073.783</v>
      </c>
      <c r="K28" s="56">
        <f>J28/C28*100</f>
        <v>82.28114654818526</v>
      </c>
      <c r="L28" s="44">
        <v>6841</v>
      </c>
      <c r="M28" s="45">
        <v>61.984</v>
      </c>
      <c r="N28" s="44">
        <v>39</v>
      </c>
      <c r="O28" s="45">
        <v>7.48</v>
      </c>
      <c r="P28" s="45">
        <v>207.778</v>
      </c>
    </row>
    <row r="29" spans="1:16" ht="18" customHeight="1">
      <c r="A29" s="27" t="s">
        <v>60</v>
      </c>
      <c r="B29" s="38"/>
      <c r="C29" s="41"/>
      <c r="D29" s="40"/>
      <c r="E29" s="42"/>
      <c r="F29" s="40"/>
      <c r="G29" s="52"/>
      <c r="H29" s="40"/>
      <c r="I29" s="42"/>
      <c r="J29" s="40"/>
      <c r="K29" s="42"/>
      <c r="L29" s="38"/>
      <c r="M29" s="41"/>
      <c r="N29" s="38"/>
      <c r="O29" s="41"/>
      <c r="P29" s="41"/>
    </row>
    <row r="30" spans="1:16" ht="18" customHeight="1">
      <c r="A30" s="29" t="s">
        <v>55</v>
      </c>
      <c r="B30" s="44">
        <f>B26+B28</f>
        <v>29284</v>
      </c>
      <c r="C30" s="45">
        <f>C26+C28</f>
        <v>14243.047</v>
      </c>
      <c r="D30" s="53">
        <f>D26+D28</f>
        <v>1605.613</v>
      </c>
      <c r="E30" s="54">
        <f>D30/C30*100</f>
        <v>11.272960062548414</v>
      </c>
      <c r="F30" s="55">
        <f>F26+F28</f>
        <v>7281.602</v>
      </c>
      <c r="G30" s="56">
        <f>F30/C30*100</f>
        <v>51.123906282131905</v>
      </c>
      <c r="H30" s="57">
        <f>H26+H28</f>
        <v>1830.8359999999998</v>
      </c>
      <c r="I30" s="54">
        <f>H30/C30*100</f>
        <v>12.854243898794968</v>
      </c>
      <c r="J30" s="55">
        <f>J26+J28</f>
        <v>12133.124</v>
      </c>
      <c r="K30" s="56">
        <f>J30/C30*100</f>
        <v>85.18629475841792</v>
      </c>
      <c r="L30" s="44">
        <f>L26+L28</f>
        <v>9226</v>
      </c>
      <c r="M30" s="45">
        <f>M26+M28</f>
        <v>95.785</v>
      </c>
      <c r="N30" s="44">
        <f>N26+N28</f>
        <v>62</v>
      </c>
      <c r="O30" s="45">
        <f>O26+O28</f>
        <v>12.768</v>
      </c>
      <c r="P30" s="45">
        <f>P26+P28</f>
        <v>580.875</v>
      </c>
    </row>
    <row r="31" spans="1:16" ht="18" customHeight="1">
      <c r="A31" s="91" t="s">
        <v>28</v>
      </c>
      <c r="B31" s="38"/>
      <c r="C31" s="41"/>
      <c r="D31" s="40"/>
      <c r="E31" s="42"/>
      <c r="F31" s="40"/>
      <c r="G31" s="52"/>
      <c r="H31" s="40"/>
      <c r="I31" s="42"/>
      <c r="J31" s="40"/>
      <c r="K31" s="42"/>
      <c r="L31" s="38"/>
      <c r="M31" s="41"/>
      <c r="N31" s="38"/>
      <c r="O31" s="41"/>
      <c r="P31" s="41"/>
    </row>
    <row r="32" spans="1:16" ht="18" customHeight="1">
      <c r="A32" s="91"/>
      <c r="B32" s="44">
        <f>B18+B30</f>
        <v>29545</v>
      </c>
      <c r="C32" s="45">
        <f>C18+C30</f>
        <v>18212.847</v>
      </c>
      <c r="D32" s="53">
        <f>D18+D30</f>
        <v>4083.5739999999996</v>
      </c>
      <c r="E32" s="54">
        <f>D32/C32*100</f>
        <v>22.421392987049195</v>
      </c>
      <c r="F32" s="55">
        <f>F18+F30</f>
        <v>10269.397</v>
      </c>
      <c r="G32" s="56">
        <f>F32/C32*100</f>
        <v>56.38545692499366</v>
      </c>
      <c r="H32" s="57">
        <f>H18+H30</f>
        <v>3988.81</v>
      </c>
      <c r="I32" s="54">
        <f>H32/C32*100</f>
        <v>21.901078947184914</v>
      </c>
      <c r="J32" s="55">
        <f>J18+J30</f>
        <v>15948.47</v>
      </c>
      <c r="K32" s="56">
        <f>J32/C32*100</f>
        <v>87.56714422517248</v>
      </c>
      <c r="L32" s="44">
        <f>L18+L30</f>
        <v>12224</v>
      </c>
      <c r="M32" s="45">
        <f>M18+M30</f>
        <v>192.194</v>
      </c>
      <c r="N32" s="44">
        <f>N18+N30</f>
        <v>280</v>
      </c>
      <c r="O32" s="45">
        <f>O18+O30</f>
        <v>117.27120000000001</v>
      </c>
      <c r="P32" s="45">
        <f>P18+P30</f>
        <v>1972.231</v>
      </c>
    </row>
    <row r="33" spans="1:16" ht="14.25" customHeight="1">
      <c r="A33" s="31" t="s">
        <v>31</v>
      </c>
      <c r="B33" s="33"/>
      <c r="C33" s="39"/>
      <c r="D33" s="39"/>
      <c r="E33" s="34"/>
      <c r="F33" s="39"/>
      <c r="G33" s="34"/>
      <c r="H33" s="39"/>
      <c r="I33" s="34"/>
      <c r="J33" s="39"/>
      <c r="K33" s="34"/>
      <c r="L33" s="35"/>
      <c r="M33" s="37"/>
      <c r="N33" s="35"/>
      <c r="O33" s="37"/>
      <c r="P33" s="37"/>
    </row>
    <row r="34" ht="13.5">
      <c r="A34" s="31" t="s">
        <v>32</v>
      </c>
    </row>
    <row r="35" ht="13.5">
      <c r="A35" s="31" t="s">
        <v>33</v>
      </c>
    </row>
    <row r="36" ht="13.5">
      <c r="A36" s="31" t="s">
        <v>34</v>
      </c>
    </row>
    <row r="37" ht="13.5">
      <c r="A37" s="31" t="s">
        <v>35</v>
      </c>
    </row>
    <row r="38" ht="13.5">
      <c r="A38" s="31" t="s">
        <v>41</v>
      </c>
    </row>
  </sheetData>
  <sheetProtection/>
  <mergeCells count="24">
    <mergeCell ref="A27:A28"/>
    <mergeCell ref="A31:A32"/>
    <mergeCell ref="D4:E4"/>
    <mergeCell ref="H4:I4"/>
    <mergeCell ref="A11:A12"/>
    <mergeCell ref="A13:A14"/>
    <mergeCell ref="A21:A22"/>
    <mergeCell ref="A23:A24"/>
    <mergeCell ref="H3:I3"/>
    <mergeCell ref="J3:K4"/>
    <mergeCell ref="L3:L4"/>
    <mergeCell ref="M3:M4"/>
    <mergeCell ref="N3:N4"/>
    <mergeCell ref="O3:O4"/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Q8" sqref="Q8"/>
    </sheetView>
  </sheetViews>
  <sheetFormatPr defaultColWidth="8.875" defaultRowHeight="13.5"/>
  <cols>
    <col min="1" max="1" width="14.25390625" style="14" customWidth="1"/>
    <col min="2" max="2" width="8.875" style="32" customWidth="1"/>
    <col min="3" max="3" width="9.875" style="36" customWidth="1"/>
    <col min="4" max="4" width="14.75390625" style="36" customWidth="1"/>
    <col min="5" max="5" width="13.125" style="32" customWidth="1"/>
    <col min="6" max="6" width="10.75390625" style="36" customWidth="1"/>
    <col min="7" max="7" width="9.75390625" style="32" customWidth="1"/>
    <col min="8" max="8" width="14.75390625" style="36" customWidth="1"/>
    <col min="9" max="9" width="13.125" style="32" customWidth="1"/>
    <col min="10" max="10" width="10.75390625" style="36" customWidth="1"/>
    <col min="11" max="11" width="10.25390625" style="32" customWidth="1"/>
    <col min="12" max="12" width="8.875" style="32" customWidth="1"/>
    <col min="13" max="13" width="7.75390625" style="36" bestFit="1" customWidth="1"/>
    <col min="14" max="14" width="8.875" style="32" customWidth="1"/>
    <col min="15" max="15" width="9.00390625" style="36" bestFit="1" customWidth="1"/>
    <col min="16" max="16" width="9.625" style="36" bestFit="1" customWidth="1"/>
    <col min="17" max="16384" width="8.875" style="32" customWidth="1"/>
  </cols>
  <sheetData>
    <row r="1" spans="1:16" ht="36" customHeight="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5.5" customHeight="1">
      <c r="A2" s="76" t="s">
        <v>0</v>
      </c>
      <c r="B2" s="76" t="s">
        <v>1</v>
      </c>
      <c r="C2" s="78" t="s">
        <v>2</v>
      </c>
      <c r="D2" s="80" t="s">
        <v>3</v>
      </c>
      <c r="E2" s="80"/>
      <c r="F2" s="80"/>
      <c r="G2" s="80"/>
      <c r="H2" s="80" t="s">
        <v>4</v>
      </c>
      <c r="I2" s="80"/>
      <c r="J2" s="80"/>
      <c r="K2" s="80"/>
      <c r="L2" s="76" t="s">
        <v>5</v>
      </c>
      <c r="M2" s="76"/>
      <c r="N2" s="76" t="s">
        <v>6</v>
      </c>
      <c r="O2" s="76"/>
      <c r="P2" s="27" t="s">
        <v>7</v>
      </c>
    </row>
    <row r="3" spans="1:16" ht="13.5">
      <c r="A3" s="76"/>
      <c r="B3" s="76"/>
      <c r="C3" s="79"/>
      <c r="D3" s="81"/>
      <c r="E3" s="82"/>
      <c r="F3" s="82" t="s">
        <v>8</v>
      </c>
      <c r="G3" s="83"/>
      <c r="H3" s="86"/>
      <c r="I3" s="87"/>
      <c r="J3" s="82" t="s">
        <v>9</v>
      </c>
      <c r="K3" s="83"/>
      <c r="L3" s="88" t="s">
        <v>10</v>
      </c>
      <c r="M3" s="80" t="s">
        <v>11</v>
      </c>
      <c r="N3" s="76" t="s">
        <v>10</v>
      </c>
      <c r="O3" s="80" t="s">
        <v>11</v>
      </c>
      <c r="P3" s="28" t="s">
        <v>12</v>
      </c>
    </row>
    <row r="4" spans="1:16" ht="13.5">
      <c r="A4" s="76"/>
      <c r="B4" s="77"/>
      <c r="C4" s="79"/>
      <c r="D4" s="81" t="s">
        <v>13</v>
      </c>
      <c r="E4" s="83"/>
      <c r="F4" s="84"/>
      <c r="G4" s="85"/>
      <c r="H4" s="81" t="s">
        <v>14</v>
      </c>
      <c r="I4" s="83"/>
      <c r="J4" s="84"/>
      <c r="K4" s="85"/>
      <c r="L4" s="89"/>
      <c r="M4" s="78"/>
      <c r="N4" s="77"/>
      <c r="O4" s="78"/>
      <c r="P4" s="29" t="s">
        <v>15</v>
      </c>
    </row>
    <row r="5" spans="1:16" ht="18" customHeight="1">
      <c r="A5" s="64" t="s">
        <v>64</v>
      </c>
      <c r="B5" s="38"/>
      <c r="C5" s="41"/>
      <c r="D5" s="66"/>
      <c r="E5" s="73"/>
      <c r="F5" s="73"/>
      <c r="G5" s="74"/>
      <c r="H5" s="66"/>
      <c r="I5" s="73"/>
      <c r="J5" s="73"/>
      <c r="K5" s="73"/>
      <c r="L5" s="38"/>
      <c r="M5" s="41"/>
      <c r="N5" s="38"/>
      <c r="O5" s="41"/>
      <c r="P5" s="41"/>
    </row>
    <row r="6" spans="1:16" ht="18" customHeight="1">
      <c r="A6" s="65" t="s">
        <v>65</v>
      </c>
      <c r="B6" s="44">
        <v>6</v>
      </c>
      <c r="C6" s="45">
        <f>467207/1000</f>
        <v>467.207</v>
      </c>
      <c r="D6" s="53">
        <f>467207/1000</f>
        <v>467.207</v>
      </c>
      <c r="E6" s="54">
        <f>D6/C6*100</f>
        <v>100</v>
      </c>
      <c r="F6" s="55">
        <f>467207/1000</f>
        <v>467.207</v>
      </c>
      <c r="G6" s="56">
        <f>F6/C6*100</f>
        <v>100</v>
      </c>
      <c r="H6" s="57">
        <f>467207/1000</f>
        <v>467.207</v>
      </c>
      <c r="I6" s="54">
        <f>H6/C6*100</f>
        <v>100</v>
      </c>
      <c r="J6" s="55">
        <f>467207/1000</f>
        <v>467.207</v>
      </c>
      <c r="K6" s="56">
        <f>J6/C6*100</f>
        <v>100</v>
      </c>
      <c r="L6" s="44">
        <v>688</v>
      </c>
      <c r="M6" s="45">
        <f>39367/1000</f>
        <v>39.367</v>
      </c>
      <c r="N6" s="44">
        <v>52</v>
      </c>
      <c r="O6" s="45">
        <f>28499/1000</f>
        <v>28.499</v>
      </c>
      <c r="P6" s="45">
        <f>340321/1000</f>
        <v>340.321</v>
      </c>
    </row>
    <row r="7" spans="1:16" ht="18" customHeight="1">
      <c r="A7" s="27" t="s">
        <v>64</v>
      </c>
      <c r="B7" s="38"/>
      <c r="C7" s="41"/>
      <c r="D7" s="40"/>
      <c r="E7" s="61"/>
      <c r="F7" s="40"/>
      <c r="G7" s="62"/>
      <c r="H7" s="40"/>
      <c r="I7" s="61"/>
      <c r="J7" s="40"/>
      <c r="K7" s="61"/>
      <c r="L7" s="38"/>
      <c r="M7" s="41"/>
      <c r="N7" s="38"/>
      <c r="O7" s="41"/>
      <c r="P7" s="41"/>
    </row>
    <row r="8" spans="1:16" ht="18" customHeight="1">
      <c r="A8" s="70" t="s">
        <v>66</v>
      </c>
      <c r="B8" s="44">
        <v>13</v>
      </c>
      <c r="C8" s="45">
        <v>614.4725</v>
      </c>
      <c r="D8" s="46">
        <v>501.6231</v>
      </c>
      <c r="E8" s="54">
        <f>D8/C8*100</f>
        <v>81.63475175862224</v>
      </c>
      <c r="F8" s="48">
        <v>542.6063</v>
      </c>
      <c r="G8" s="49">
        <f>F8/C8*100</f>
        <v>88.30440743890085</v>
      </c>
      <c r="H8" s="50">
        <v>461.2526</v>
      </c>
      <c r="I8" s="54">
        <f>H8/C8*100</f>
        <v>75.0648076195436</v>
      </c>
      <c r="J8" s="48">
        <v>612.0645</v>
      </c>
      <c r="K8" s="56">
        <f>J8/C8*100</f>
        <v>99.60811915911614</v>
      </c>
      <c r="L8" s="44">
        <v>537</v>
      </c>
      <c r="M8" s="45">
        <v>20.6251</v>
      </c>
      <c r="N8" s="44">
        <v>88</v>
      </c>
      <c r="O8" s="45">
        <v>49.6159</v>
      </c>
      <c r="P8" s="45">
        <v>365.4568</v>
      </c>
    </row>
    <row r="9" spans="1:16" ht="18" customHeight="1">
      <c r="A9" s="27" t="s">
        <v>64</v>
      </c>
      <c r="B9" s="38"/>
      <c r="C9" s="41"/>
      <c r="D9" s="40"/>
      <c r="E9" s="42"/>
      <c r="F9" s="40"/>
      <c r="G9" s="52"/>
      <c r="H9" s="40"/>
      <c r="I9" s="42"/>
      <c r="J9" s="40"/>
      <c r="K9" s="42"/>
      <c r="L9" s="38"/>
      <c r="M9" s="41"/>
      <c r="N9" s="38"/>
      <c r="O9" s="41"/>
      <c r="P9" s="41"/>
    </row>
    <row r="10" spans="1:16" ht="18" customHeight="1">
      <c r="A10" s="29" t="s">
        <v>67</v>
      </c>
      <c r="B10" s="44">
        <f>B6+B8-1</f>
        <v>18</v>
      </c>
      <c r="C10" s="45">
        <f>C6+C8</f>
        <v>1081.6795</v>
      </c>
      <c r="D10" s="53">
        <f>D6+D8</f>
        <v>968.8301</v>
      </c>
      <c r="E10" s="54">
        <f>D10/C10*100</f>
        <v>89.5672054430171</v>
      </c>
      <c r="F10" s="55">
        <f>F6+F8</f>
        <v>1009.8133</v>
      </c>
      <c r="G10" s="56">
        <f>F10/C10*100</f>
        <v>93.35605417316313</v>
      </c>
      <c r="H10" s="57">
        <f>H6+H8</f>
        <v>928.4595999999999</v>
      </c>
      <c r="I10" s="54">
        <f>H10/C10*100</f>
        <v>85.83500010862737</v>
      </c>
      <c r="J10" s="55">
        <f>J6+J8</f>
        <v>1079.2714999999998</v>
      </c>
      <c r="K10" s="56">
        <f>J10/C10*100</f>
        <v>99.77738322673211</v>
      </c>
      <c r="L10" s="44">
        <f>L6+L8</f>
        <v>1225</v>
      </c>
      <c r="M10" s="45">
        <f>M6+M8</f>
        <v>59.99209999999999</v>
      </c>
      <c r="N10" s="44">
        <f>N6+N8</f>
        <v>140</v>
      </c>
      <c r="O10" s="45">
        <f>O6+O8</f>
        <v>78.1149</v>
      </c>
      <c r="P10" s="45">
        <f>P6+P8</f>
        <v>705.7778000000001</v>
      </c>
    </row>
    <row r="11" spans="1:16" ht="18" customHeight="1">
      <c r="A11" s="91" t="s">
        <v>19</v>
      </c>
      <c r="B11" s="38"/>
      <c r="C11" s="41"/>
      <c r="D11" s="40"/>
      <c r="E11" s="42"/>
      <c r="F11" s="40"/>
      <c r="G11" s="52"/>
      <c r="H11" s="40"/>
      <c r="I11" s="42"/>
      <c r="J11" s="40"/>
      <c r="K11" s="42"/>
      <c r="L11" s="38"/>
      <c r="M11" s="41"/>
      <c r="N11" s="38"/>
      <c r="O11" s="41"/>
      <c r="P11" s="41"/>
    </row>
    <row r="12" spans="1:16" ht="18" customHeight="1">
      <c r="A12" s="91"/>
      <c r="B12" s="44">
        <v>54</v>
      </c>
      <c r="C12" s="45">
        <v>1095.2128</v>
      </c>
      <c r="D12" s="46">
        <v>758.621</v>
      </c>
      <c r="E12" s="54">
        <f>D12/C12*100</f>
        <v>69.26699541860724</v>
      </c>
      <c r="F12" s="48">
        <v>886.5726</v>
      </c>
      <c r="G12" s="49">
        <f>F12/C12*100</f>
        <v>80.9498026319634</v>
      </c>
      <c r="H12" s="50">
        <v>635.22</v>
      </c>
      <c r="I12" s="54">
        <f>H12/C12*100</f>
        <v>57.99968736669258</v>
      </c>
      <c r="J12" s="48">
        <v>1067.5269</v>
      </c>
      <c r="K12" s="56">
        <f>J12/C12*100</f>
        <v>97.47209857298965</v>
      </c>
      <c r="L12" s="44">
        <v>745</v>
      </c>
      <c r="M12" s="45">
        <v>19.1792</v>
      </c>
      <c r="N12" s="44">
        <v>54</v>
      </c>
      <c r="O12" s="45">
        <v>21.1463</v>
      </c>
      <c r="P12" s="45">
        <v>382.4601</v>
      </c>
    </row>
    <row r="13" spans="1:16" ht="18" customHeight="1">
      <c r="A13" s="91" t="s">
        <v>20</v>
      </c>
      <c r="B13" s="38"/>
      <c r="C13" s="41"/>
      <c r="D13" s="40"/>
      <c r="E13" s="42"/>
      <c r="F13" s="40"/>
      <c r="G13" s="52"/>
      <c r="H13" s="40"/>
      <c r="I13" s="42"/>
      <c r="J13" s="40"/>
      <c r="K13" s="42"/>
      <c r="L13" s="38"/>
      <c r="M13" s="41"/>
      <c r="N13" s="38"/>
      <c r="O13" s="41"/>
      <c r="P13" s="41"/>
    </row>
    <row r="14" spans="1:16" ht="18" customHeight="1">
      <c r="A14" s="91"/>
      <c r="B14" s="44">
        <v>189</v>
      </c>
      <c r="C14" s="45">
        <v>1789.1882</v>
      </c>
      <c r="D14" s="46">
        <v>744.4776</v>
      </c>
      <c r="E14" s="54">
        <f>D14/C14*100</f>
        <v>41.609798231399026</v>
      </c>
      <c r="F14" s="48">
        <v>1083.4347</v>
      </c>
      <c r="G14" s="49">
        <f>F14/C14*100</f>
        <v>60.55454088060719</v>
      </c>
      <c r="H14" s="50">
        <v>583.0773</v>
      </c>
      <c r="I14" s="54">
        <f>H14/C14*100</f>
        <v>32.58893055520934</v>
      </c>
      <c r="J14" s="48">
        <v>1654.7057</v>
      </c>
      <c r="K14" s="56">
        <f>J14/C14*100</f>
        <v>92.48360233987681</v>
      </c>
      <c r="L14" s="44">
        <v>1008</v>
      </c>
      <c r="M14" s="45">
        <v>16.403</v>
      </c>
      <c r="N14" s="44">
        <v>22</v>
      </c>
      <c r="O14" s="45">
        <v>5.0497</v>
      </c>
      <c r="P14" s="45">
        <v>298.9029</v>
      </c>
    </row>
    <row r="15" spans="1:16" ht="18" customHeight="1">
      <c r="A15" s="27" t="s">
        <v>68</v>
      </c>
      <c r="B15" s="38"/>
      <c r="C15" s="41"/>
      <c r="D15" s="40"/>
      <c r="E15" s="42"/>
      <c r="F15" s="40"/>
      <c r="G15" s="52"/>
      <c r="H15" s="40"/>
      <c r="I15" s="42"/>
      <c r="J15" s="40"/>
      <c r="K15" s="42"/>
      <c r="L15" s="38"/>
      <c r="M15" s="41"/>
      <c r="N15" s="38"/>
      <c r="O15" s="41"/>
      <c r="P15" s="41"/>
    </row>
    <row r="16" spans="1:16" ht="18" customHeight="1">
      <c r="A16" s="29" t="s">
        <v>67</v>
      </c>
      <c r="B16" s="44">
        <f>B12+B14</f>
        <v>243</v>
      </c>
      <c r="C16" s="45">
        <f>C12+C14</f>
        <v>2884.401</v>
      </c>
      <c r="D16" s="53">
        <f>D12+D14</f>
        <v>1503.0986</v>
      </c>
      <c r="E16" s="54">
        <f>D16/C16*100</f>
        <v>52.111291044483764</v>
      </c>
      <c r="F16" s="55">
        <f>F12+F14</f>
        <v>1970.0073</v>
      </c>
      <c r="G16" s="56">
        <f>F16/C16*100</f>
        <v>68.29866235658635</v>
      </c>
      <c r="H16" s="57">
        <f>H12+H14</f>
        <v>1218.2973000000002</v>
      </c>
      <c r="I16" s="54">
        <f>H16/C16*100</f>
        <v>42.2374454869486</v>
      </c>
      <c r="J16" s="55">
        <f>J12+J14</f>
        <v>2722.2326000000003</v>
      </c>
      <c r="K16" s="56">
        <f>J16/C16*100</f>
        <v>94.37774428728878</v>
      </c>
      <c r="L16" s="44">
        <f>L12+L14</f>
        <v>1753</v>
      </c>
      <c r="M16" s="45">
        <f>M12+M14</f>
        <v>35.5822</v>
      </c>
      <c r="N16" s="44">
        <f>N12+N14</f>
        <v>76</v>
      </c>
      <c r="O16" s="45">
        <f>O12+O14</f>
        <v>26.195999999999998</v>
      </c>
      <c r="P16" s="45">
        <f>P12+P14</f>
        <v>681.363</v>
      </c>
    </row>
    <row r="17" spans="1:16" ht="18" customHeight="1">
      <c r="A17" s="69" t="s">
        <v>69</v>
      </c>
      <c r="B17" s="58"/>
      <c r="C17" s="59"/>
      <c r="D17" s="60"/>
      <c r="E17" s="61"/>
      <c r="F17" s="60"/>
      <c r="G17" s="62"/>
      <c r="H17" s="60"/>
      <c r="I17" s="61"/>
      <c r="J17" s="60"/>
      <c r="K17" s="61"/>
      <c r="L17" s="58"/>
      <c r="M17" s="59"/>
      <c r="N17" s="58"/>
      <c r="O17" s="59"/>
      <c r="P17" s="59"/>
    </row>
    <row r="18" spans="1:16" ht="18" customHeight="1">
      <c r="A18" s="29" t="s">
        <v>67</v>
      </c>
      <c r="B18" s="44">
        <f>B10+B16</f>
        <v>261</v>
      </c>
      <c r="C18" s="45">
        <f>C10+C16</f>
        <v>3966.0805</v>
      </c>
      <c r="D18" s="53">
        <f>D10+D16</f>
        <v>2471.9287</v>
      </c>
      <c r="E18" s="54">
        <f>D18/C18*100</f>
        <v>62.326740468328865</v>
      </c>
      <c r="F18" s="55">
        <f>F10+F16</f>
        <v>2979.8206</v>
      </c>
      <c r="G18" s="56">
        <f>F18/C18*100</f>
        <v>75.13263031347952</v>
      </c>
      <c r="H18" s="57">
        <f>H10+H16</f>
        <v>2146.7569000000003</v>
      </c>
      <c r="I18" s="54">
        <f>H18/C18*100</f>
        <v>54.127920499848656</v>
      </c>
      <c r="J18" s="55">
        <f>J10+J16</f>
        <v>3801.5041</v>
      </c>
      <c r="K18" s="56">
        <f>J18/C18*100</f>
        <v>95.85040192704108</v>
      </c>
      <c r="L18" s="44">
        <f>L10+L16</f>
        <v>2978</v>
      </c>
      <c r="M18" s="45">
        <f>M10+M16</f>
        <v>95.5743</v>
      </c>
      <c r="N18" s="44">
        <f>N10+N16</f>
        <v>216</v>
      </c>
      <c r="O18" s="45">
        <f>O10+O16</f>
        <v>104.3109</v>
      </c>
      <c r="P18" s="45">
        <f>P10+P16</f>
        <v>1387.1408000000001</v>
      </c>
    </row>
    <row r="19" spans="1:16" ht="18" customHeight="1">
      <c r="A19" s="27" t="s">
        <v>70</v>
      </c>
      <c r="B19" s="58"/>
      <c r="C19" s="59"/>
      <c r="D19" s="60"/>
      <c r="E19" s="61"/>
      <c r="F19" s="60"/>
      <c r="G19" s="62"/>
      <c r="H19" s="60"/>
      <c r="I19" s="61"/>
      <c r="J19" s="60"/>
      <c r="K19" s="61"/>
      <c r="L19" s="58"/>
      <c r="M19" s="59"/>
      <c r="N19" s="58"/>
      <c r="O19" s="59"/>
      <c r="P19" s="59"/>
    </row>
    <row r="20" spans="1:16" ht="18" customHeight="1">
      <c r="A20" s="29" t="s">
        <v>67</v>
      </c>
      <c r="B20" s="44">
        <f>B8+B16</f>
        <v>256</v>
      </c>
      <c r="C20" s="45">
        <f>C8+C16</f>
        <v>3498.8734999999997</v>
      </c>
      <c r="D20" s="53">
        <f>D8+D16</f>
        <v>2004.7217</v>
      </c>
      <c r="E20" s="54">
        <f>D20/C20*100</f>
        <v>57.29620404967485</v>
      </c>
      <c r="F20" s="55">
        <f>F8+F16</f>
        <v>2512.6136</v>
      </c>
      <c r="G20" s="56">
        <f>F20/C20*100</f>
        <v>71.81207322871205</v>
      </c>
      <c r="H20" s="57">
        <f>H8+H16</f>
        <v>1679.5499000000002</v>
      </c>
      <c r="I20" s="54">
        <f>H20/C20*100</f>
        <v>48.002589976459575</v>
      </c>
      <c r="J20" s="55">
        <f>J8+J16</f>
        <v>3334.2971000000002</v>
      </c>
      <c r="K20" s="56">
        <f>J20/C20*100</f>
        <v>95.29630322445212</v>
      </c>
      <c r="L20" s="44">
        <f>L8+L16</f>
        <v>2290</v>
      </c>
      <c r="M20" s="45">
        <f>M8+M16</f>
        <v>56.207300000000004</v>
      </c>
      <c r="N20" s="44">
        <f>N8+N16</f>
        <v>164</v>
      </c>
      <c r="O20" s="45">
        <f>O8+O16</f>
        <v>75.81190000000001</v>
      </c>
      <c r="P20" s="45">
        <f>P8+P16</f>
        <v>1046.8198</v>
      </c>
    </row>
    <row r="21" spans="1:16" ht="18" customHeight="1">
      <c r="A21" s="91" t="s">
        <v>24</v>
      </c>
      <c r="B21" s="38"/>
      <c r="C21" s="41"/>
      <c r="D21" s="40"/>
      <c r="E21" s="42"/>
      <c r="F21" s="40"/>
      <c r="G21" s="52"/>
      <c r="H21" s="40"/>
      <c r="I21" s="42"/>
      <c r="J21" s="40"/>
      <c r="K21" s="42"/>
      <c r="L21" s="38"/>
      <c r="M21" s="41"/>
      <c r="N21" s="38"/>
      <c r="O21" s="41"/>
      <c r="P21" s="41"/>
    </row>
    <row r="22" spans="1:16" ht="18" customHeight="1">
      <c r="A22" s="91"/>
      <c r="B22" s="44">
        <v>1068</v>
      </c>
      <c r="C22" s="45">
        <v>1565.459</v>
      </c>
      <c r="D22" s="53">
        <v>580.725</v>
      </c>
      <c r="E22" s="54">
        <f>D22/C22*100</f>
        <v>37.09614879725371</v>
      </c>
      <c r="F22" s="55">
        <v>1252.272</v>
      </c>
      <c r="G22" s="56">
        <f>F22/C22*100</f>
        <v>79.99391871649145</v>
      </c>
      <c r="H22" s="57">
        <v>306.61</v>
      </c>
      <c r="I22" s="54">
        <f>H22/C22*100</f>
        <v>19.585948913385785</v>
      </c>
      <c r="J22" s="55">
        <v>1507.769</v>
      </c>
      <c r="K22" s="56">
        <f>J22/C22*100</f>
        <v>96.31481884865717</v>
      </c>
      <c r="L22" s="44">
        <v>1159</v>
      </c>
      <c r="M22" s="45">
        <v>20.514</v>
      </c>
      <c r="N22" s="44">
        <v>21</v>
      </c>
      <c r="O22" s="45">
        <v>4.841</v>
      </c>
      <c r="P22" s="45">
        <v>295.275</v>
      </c>
    </row>
    <row r="23" spans="1:16" ht="18" customHeight="1">
      <c r="A23" s="91" t="s">
        <v>25</v>
      </c>
      <c r="B23" s="38"/>
      <c r="C23" s="41"/>
      <c r="D23" s="40"/>
      <c r="E23" s="42"/>
      <c r="F23" s="40"/>
      <c r="G23" s="52"/>
      <c r="H23" s="40"/>
      <c r="I23" s="42"/>
      <c r="J23" s="40"/>
      <c r="K23" s="42"/>
      <c r="L23" s="38"/>
      <c r="M23" s="41"/>
      <c r="N23" s="38"/>
      <c r="O23" s="41"/>
      <c r="P23" s="41"/>
    </row>
    <row r="24" spans="1:16" ht="18" customHeight="1">
      <c r="A24" s="91"/>
      <c r="B24" s="44">
        <v>1397</v>
      </c>
      <c r="C24" s="45">
        <v>1650.968</v>
      </c>
      <c r="D24" s="53">
        <v>235.971</v>
      </c>
      <c r="E24" s="54">
        <f>D24/C24*100</f>
        <v>14.292887566567009</v>
      </c>
      <c r="F24" s="55">
        <v>1067.908</v>
      </c>
      <c r="G24" s="56">
        <f>F24/C24*100</f>
        <v>64.68374917018379</v>
      </c>
      <c r="H24" s="57">
        <v>147.572</v>
      </c>
      <c r="I24" s="54">
        <f>H24/C24*100</f>
        <v>8.938513647750895</v>
      </c>
      <c r="J24" s="55">
        <v>1551.201</v>
      </c>
      <c r="K24" s="56">
        <f>J24/C24*100</f>
        <v>93.95706034278072</v>
      </c>
      <c r="L24" s="44">
        <v>1226</v>
      </c>
      <c r="M24" s="45">
        <v>13.69</v>
      </c>
      <c r="N24" s="44">
        <v>4</v>
      </c>
      <c r="O24" s="45">
        <v>0.64</v>
      </c>
      <c r="P24" s="45">
        <v>75.359</v>
      </c>
    </row>
    <row r="25" spans="1:16" ht="18" customHeight="1">
      <c r="A25" s="27" t="s">
        <v>71</v>
      </c>
      <c r="B25" s="38"/>
      <c r="C25" s="41"/>
      <c r="D25" s="40"/>
      <c r="E25" s="42"/>
      <c r="F25" s="40"/>
      <c r="G25" s="52"/>
      <c r="H25" s="40"/>
      <c r="I25" s="42"/>
      <c r="J25" s="40"/>
      <c r="K25" s="42"/>
      <c r="L25" s="38"/>
      <c r="M25" s="41"/>
      <c r="N25" s="38"/>
      <c r="O25" s="41"/>
      <c r="P25" s="41"/>
    </row>
    <row r="26" spans="1:16" ht="18" customHeight="1">
      <c r="A26" s="29" t="s">
        <v>72</v>
      </c>
      <c r="B26" s="44">
        <f>B22+B24</f>
        <v>2465</v>
      </c>
      <c r="C26" s="45">
        <f>C22+C24</f>
        <v>3216.427</v>
      </c>
      <c r="D26" s="53">
        <f>D22+D24</f>
        <v>816.696</v>
      </c>
      <c r="E26" s="54">
        <f>D26/C26*100</f>
        <v>25.391404810368773</v>
      </c>
      <c r="F26" s="55">
        <f>F22+F24</f>
        <v>2320.18</v>
      </c>
      <c r="G26" s="56">
        <f>F26/C26*100</f>
        <v>72.13532282871645</v>
      </c>
      <c r="H26" s="57">
        <f>H22+H24</f>
        <v>454.182</v>
      </c>
      <c r="I26" s="54">
        <f>H26/C26*100</f>
        <v>14.12069977027304</v>
      </c>
      <c r="J26" s="55">
        <f>J22+J24</f>
        <v>3058.9700000000003</v>
      </c>
      <c r="K26" s="56">
        <f>J26/C26*100</f>
        <v>95.10459898514719</v>
      </c>
      <c r="L26" s="44">
        <f>L22+L24</f>
        <v>2385</v>
      </c>
      <c r="M26" s="45">
        <f>M22+M24</f>
        <v>34.204</v>
      </c>
      <c r="N26" s="44">
        <f>N22+N24</f>
        <v>25</v>
      </c>
      <c r="O26" s="45">
        <f>O22+O24</f>
        <v>5.481</v>
      </c>
      <c r="P26" s="45">
        <f>P22+P24</f>
        <v>370.63399999999996</v>
      </c>
    </row>
    <row r="27" spans="1:16" ht="18" customHeight="1">
      <c r="A27" s="90" t="s">
        <v>73</v>
      </c>
      <c r="B27" s="38"/>
      <c r="C27" s="41"/>
      <c r="D27" s="40"/>
      <c r="E27" s="42"/>
      <c r="F27" s="40"/>
      <c r="G27" s="52"/>
      <c r="H27" s="40"/>
      <c r="I27" s="42"/>
      <c r="J27" s="40"/>
      <c r="K27" s="42"/>
      <c r="L27" s="38"/>
      <c r="M27" s="41"/>
      <c r="N27" s="38"/>
      <c r="O27" s="41"/>
      <c r="P27" s="41"/>
    </row>
    <row r="28" spans="1:16" ht="18" customHeight="1">
      <c r="A28" s="90"/>
      <c r="B28" s="44">
        <v>26710</v>
      </c>
      <c r="C28" s="45">
        <v>10997.438</v>
      </c>
      <c r="D28" s="53">
        <v>771.997</v>
      </c>
      <c r="E28" s="54">
        <f>D28/C28*100</f>
        <v>7.019789518249614</v>
      </c>
      <c r="F28" s="55">
        <v>4915.946</v>
      </c>
      <c r="G28" s="56">
        <f>F28/C28*100</f>
        <v>44.70082941135926</v>
      </c>
      <c r="H28" s="57">
        <v>1376.059</v>
      </c>
      <c r="I28" s="54">
        <f>H28/C28*100</f>
        <v>12.51254155740637</v>
      </c>
      <c r="J28" s="55">
        <v>9038.268</v>
      </c>
      <c r="K28" s="56">
        <f>J28/C28*100</f>
        <v>82.18521441084732</v>
      </c>
      <c r="L28" s="44">
        <v>6823</v>
      </c>
      <c r="M28" s="45">
        <v>61.192</v>
      </c>
      <c r="N28" s="44">
        <v>38</v>
      </c>
      <c r="O28" s="45">
        <v>7.303</v>
      </c>
      <c r="P28" s="45">
        <v>205.637</v>
      </c>
    </row>
    <row r="29" spans="1:16" ht="18" customHeight="1">
      <c r="A29" s="27" t="s">
        <v>74</v>
      </c>
      <c r="B29" s="38"/>
      <c r="C29" s="41"/>
      <c r="D29" s="40"/>
      <c r="E29" s="42"/>
      <c r="F29" s="40"/>
      <c r="G29" s="52"/>
      <c r="H29" s="40"/>
      <c r="I29" s="42"/>
      <c r="J29" s="40"/>
      <c r="K29" s="42"/>
      <c r="L29" s="38"/>
      <c r="M29" s="41"/>
      <c r="N29" s="38"/>
      <c r="O29" s="41"/>
      <c r="P29" s="41"/>
    </row>
    <row r="30" spans="1:16" ht="18" customHeight="1">
      <c r="A30" s="29" t="s">
        <v>67</v>
      </c>
      <c r="B30" s="44">
        <f>B26+B28</f>
        <v>29175</v>
      </c>
      <c r="C30" s="45">
        <f>C26+C28</f>
        <v>14213.865</v>
      </c>
      <c r="D30" s="53">
        <f>D26+D28</f>
        <v>1588.693</v>
      </c>
      <c r="E30" s="54">
        <f>D30/C30*100</f>
        <v>11.177065492038937</v>
      </c>
      <c r="F30" s="55">
        <f>F26+F28</f>
        <v>7236.126</v>
      </c>
      <c r="G30" s="56">
        <f>F30/C30*100</f>
        <v>50.90892589735445</v>
      </c>
      <c r="H30" s="57">
        <f>H26+H28</f>
        <v>1830.241</v>
      </c>
      <c r="I30" s="54">
        <f>H30/C30*100</f>
        <v>12.876448453675337</v>
      </c>
      <c r="J30" s="55">
        <f>J26+J28</f>
        <v>12097.238000000001</v>
      </c>
      <c r="K30" s="56">
        <f>J30/C30*100</f>
        <v>85.10871603184637</v>
      </c>
      <c r="L30" s="44">
        <f>L26+L28</f>
        <v>9208</v>
      </c>
      <c r="M30" s="45">
        <f>M26+M28</f>
        <v>95.396</v>
      </c>
      <c r="N30" s="44">
        <f>N26+N28</f>
        <v>63</v>
      </c>
      <c r="O30" s="45">
        <f>O26+O28</f>
        <v>12.783999999999999</v>
      </c>
      <c r="P30" s="45">
        <f>P26+P28</f>
        <v>576.271</v>
      </c>
    </row>
    <row r="31" spans="1:16" ht="18" customHeight="1">
      <c r="A31" s="91" t="s">
        <v>28</v>
      </c>
      <c r="B31" s="38"/>
      <c r="C31" s="41"/>
      <c r="D31" s="40"/>
      <c r="E31" s="42"/>
      <c r="F31" s="40"/>
      <c r="G31" s="52"/>
      <c r="H31" s="40"/>
      <c r="I31" s="42"/>
      <c r="J31" s="40"/>
      <c r="K31" s="42"/>
      <c r="L31" s="38"/>
      <c r="M31" s="41"/>
      <c r="N31" s="38"/>
      <c r="O31" s="41"/>
      <c r="P31" s="41"/>
    </row>
    <row r="32" spans="1:16" ht="18" customHeight="1">
      <c r="A32" s="91"/>
      <c r="B32" s="44">
        <f>B18+B30</f>
        <v>29436</v>
      </c>
      <c r="C32" s="45">
        <f>C18+C30</f>
        <v>18179.9455</v>
      </c>
      <c r="D32" s="53">
        <f>D18+D30</f>
        <v>4060.6216999999997</v>
      </c>
      <c r="E32" s="54">
        <f>D32/C32*100</f>
        <v>22.335719873307646</v>
      </c>
      <c r="F32" s="55">
        <f>F18+F30</f>
        <v>10215.9466</v>
      </c>
      <c r="G32" s="56">
        <f>F32/C32*100</f>
        <v>56.19349408940747</v>
      </c>
      <c r="H32" s="57">
        <f>H18+H30</f>
        <v>3976.9979000000003</v>
      </c>
      <c r="I32" s="54">
        <f>H32/C32*100</f>
        <v>21.875741596695107</v>
      </c>
      <c r="J32" s="55">
        <f>J18+J30</f>
        <v>15898.742100000001</v>
      </c>
      <c r="K32" s="56">
        <f>J32/C32*100</f>
        <v>87.45208889652612</v>
      </c>
      <c r="L32" s="44">
        <f>L18+L30</f>
        <v>12186</v>
      </c>
      <c r="M32" s="45">
        <f>M18+M30</f>
        <v>190.9703</v>
      </c>
      <c r="N32" s="44">
        <f>N18+N30</f>
        <v>279</v>
      </c>
      <c r="O32" s="45">
        <f>O18+O30</f>
        <v>117.0949</v>
      </c>
      <c r="P32" s="45">
        <f>P18+P30</f>
        <v>1963.4118</v>
      </c>
    </row>
    <row r="33" spans="1:16" ht="14.25" customHeight="1">
      <c r="A33" s="31" t="s">
        <v>31</v>
      </c>
      <c r="B33" s="33"/>
      <c r="C33" s="39"/>
      <c r="D33" s="39"/>
      <c r="E33" s="34"/>
      <c r="F33" s="39"/>
      <c r="G33" s="34"/>
      <c r="H33" s="39"/>
      <c r="I33" s="34"/>
      <c r="J33" s="39"/>
      <c r="K33" s="34"/>
      <c r="L33" s="35"/>
      <c r="M33" s="37"/>
      <c r="N33" s="35"/>
      <c r="O33" s="37"/>
      <c r="P33" s="37"/>
    </row>
    <row r="34" ht="13.5">
      <c r="A34" s="31" t="s">
        <v>32</v>
      </c>
    </row>
    <row r="35" ht="13.5">
      <c r="A35" s="31" t="s">
        <v>33</v>
      </c>
    </row>
    <row r="36" ht="13.5">
      <c r="A36" s="31" t="s">
        <v>75</v>
      </c>
    </row>
    <row r="37" ht="13.5">
      <c r="A37" s="31" t="s">
        <v>76</v>
      </c>
    </row>
    <row r="38" ht="13.5">
      <c r="A38" s="31" t="s">
        <v>77</v>
      </c>
    </row>
  </sheetData>
  <sheetProtection/>
  <mergeCells count="24">
    <mergeCell ref="L3:L4"/>
    <mergeCell ref="M3:M4"/>
    <mergeCell ref="D3:E3"/>
    <mergeCell ref="F3:G4"/>
    <mergeCell ref="H3:I3"/>
    <mergeCell ref="J3:K4"/>
    <mergeCell ref="A1:P1"/>
    <mergeCell ref="A2:A4"/>
    <mergeCell ref="B2:B4"/>
    <mergeCell ref="C2:C4"/>
    <mergeCell ref="D2:G2"/>
    <mergeCell ref="H2:K2"/>
    <mergeCell ref="N3:N4"/>
    <mergeCell ref="O3:O4"/>
    <mergeCell ref="L2:M2"/>
    <mergeCell ref="N2:O2"/>
    <mergeCell ref="A27:A28"/>
    <mergeCell ref="A31:A32"/>
    <mergeCell ref="D4:E4"/>
    <mergeCell ref="H4:I4"/>
    <mergeCell ref="A11:A12"/>
    <mergeCell ref="A13:A14"/>
    <mergeCell ref="A21:A22"/>
    <mergeCell ref="A23:A2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Q8" sqref="Q8"/>
    </sheetView>
  </sheetViews>
  <sheetFormatPr defaultColWidth="8.875" defaultRowHeight="13.5"/>
  <cols>
    <col min="1" max="1" width="14.25390625" style="14" customWidth="1"/>
    <col min="2" max="2" width="8.875" style="32" customWidth="1"/>
    <col min="3" max="3" width="9.875" style="36" customWidth="1"/>
    <col min="4" max="4" width="14.75390625" style="36" customWidth="1"/>
    <col min="5" max="5" width="13.125" style="32" customWidth="1"/>
    <col min="6" max="6" width="10.75390625" style="36" customWidth="1"/>
    <col min="7" max="7" width="9.75390625" style="32" customWidth="1"/>
    <col min="8" max="8" width="14.75390625" style="36" customWidth="1"/>
    <col min="9" max="9" width="13.125" style="32" customWidth="1"/>
    <col min="10" max="10" width="10.75390625" style="36" customWidth="1"/>
    <col min="11" max="11" width="10.25390625" style="32" customWidth="1"/>
    <col min="12" max="12" width="8.875" style="32" customWidth="1"/>
    <col min="13" max="13" width="7.75390625" style="36" bestFit="1" customWidth="1"/>
    <col min="14" max="14" width="8.875" style="32" customWidth="1"/>
    <col min="15" max="15" width="9.00390625" style="36" bestFit="1" customWidth="1"/>
    <col min="16" max="16" width="9.625" style="36" bestFit="1" customWidth="1"/>
    <col min="17" max="16384" width="8.875" style="32" customWidth="1"/>
  </cols>
  <sheetData>
    <row r="1" spans="1:16" ht="36" customHeight="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5.5" customHeight="1">
      <c r="A2" s="76" t="s">
        <v>0</v>
      </c>
      <c r="B2" s="76" t="s">
        <v>1</v>
      </c>
      <c r="C2" s="78" t="s">
        <v>2</v>
      </c>
      <c r="D2" s="80" t="s">
        <v>3</v>
      </c>
      <c r="E2" s="80"/>
      <c r="F2" s="80"/>
      <c r="G2" s="80"/>
      <c r="H2" s="80" t="s">
        <v>4</v>
      </c>
      <c r="I2" s="80"/>
      <c r="J2" s="80"/>
      <c r="K2" s="80"/>
      <c r="L2" s="76" t="s">
        <v>5</v>
      </c>
      <c r="M2" s="76"/>
      <c r="N2" s="76" t="s">
        <v>6</v>
      </c>
      <c r="O2" s="76"/>
      <c r="P2" s="2" t="s">
        <v>7</v>
      </c>
    </row>
    <row r="3" spans="1:16" ht="13.5">
      <c r="A3" s="76"/>
      <c r="B3" s="76"/>
      <c r="C3" s="79"/>
      <c r="D3" s="81"/>
      <c r="E3" s="82"/>
      <c r="F3" s="82" t="s">
        <v>8</v>
      </c>
      <c r="G3" s="83"/>
      <c r="H3" s="86"/>
      <c r="I3" s="87"/>
      <c r="J3" s="82" t="s">
        <v>9</v>
      </c>
      <c r="K3" s="83"/>
      <c r="L3" s="88" t="s">
        <v>10</v>
      </c>
      <c r="M3" s="80" t="s">
        <v>11</v>
      </c>
      <c r="N3" s="76" t="s">
        <v>10</v>
      </c>
      <c r="O3" s="80" t="s">
        <v>11</v>
      </c>
      <c r="P3" s="4" t="s">
        <v>12</v>
      </c>
    </row>
    <row r="4" spans="1:16" ht="13.5">
      <c r="A4" s="76"/>
      <c r="B4" s="77"/>
      <c r="C4" s="79"/>
      <c r="D4" s="81" t="s">
        <v>13</v>
      </c>
      <c r="E4" s="83"/>
      <c r="F4" s="84"/>
      <c r="G4" s="85"/>
      <c r="H4" s="81" t="s">
        <v>14</v>
      </c>
      <c r="I4" s="83"/>
      <c r="J4" s="84"/>
      <c r="K4" s="85"/>
      <c r="L4" s="89"/>
      <c r="M4" s="78"/>
      <c r="N4" s="77"/>
      <c r="O4" s="78"/>
      <c r="P4" s="5" t="s">
        <v>15</v>
      </c>
    </row>
    <row r="5" spans="1:16" ht="18" customHeight="1">
      <c r="A5" s="64" t="s">
        <v>80</v>
      </c>
      <c r="B5" s="38"/>
      <c r="C5" s="41"/>
      <c r="D5" s="66"/>
      <c r="E5" s="67"/>
      <c r="F5" s="67"/>
      <c r="G5" s="68"/>
      <c r="H5" s="66"/>
      <c r="I5" s="67"/>
      <c r="J5" s="67"/>
      <c r="K5" s="67"/>
      <c r="L5" s="38"/>
      <c r="M5" s="41"/>
      <c r="N5" s="38"/>
      <c r="O5" s="41"/>
      <c r="P5" s="41"/>
    </row>
    <row r="6" spans="1:16" ht="18" customHeight="1">
      <c r="A6" s="65" t="s">
        <v>81</v>
      </c>
      <c r="B6" s="44">
        <v>6</v>
      </c>
      <c r="C6" s="45">
        <f>467207/1000</f>
        <v>467.207</v>
      </c>
      <c r="D6" s="53">
        <f>467207/1000</f>
        <v>467.207</v>
      </c>
      <c r="E6" s="54">
        <f>D6/C6*100</f>
        <v>100</v>
      </c>
      <c r="F6" s="55">
        <f>467207/1000</f>
        <v>467.207</v>
      </c>
      <c r="G6" s="56">
        <f>F6/C6*100</f>
        <v>100</v>
      </c>
      <c r="H6" s="57">
        <f>467207/1000</f>
        <v>467.207</v>
      </c>
      <c r="I6" s="54">
        <f>H6/C6*100</f>
        <v>100</v>
      </c>
      <c r="J6" s="55">
        <f>467207/1000</f>
        <v>467.207</v>
      </c>
      <c r="K6" s="56">
        <f>J6/C6*100</f>
        <v>100</v>
      </c>
      <c r="L6" s="44">
        <v>693</v>
      </c>
      <c r="M6" s="45">
        <f>39379/1000</f>
        <v>39.379</v>
      </c>
      <c r="N6" s="44">
        <v>52</v>
      </c>
      <c r="O6" s="45">
        <f>28499/1000</f>
        <v>28.499</v>
      </c>
      <c r="P6" s="45">
        <f>340321/1000</f>
        <v>340.321</v>
      </c>
    </row>
    <row r="7" spans="1:16" ht="18" customHeight="1">
      <c r="A7" s="27" t="s">
        <v>80</v>
      </c>
      <c r="B7" s="38"/>
      <c r="C7" s="41"/>
      <c r="D7" s="40"/>
      <c r="E7" s="43"/>
      <c r="F7" s="40"/>
      <c r="G7" s="51"/>
      <c r="H7" s="40"/>
      <c r="I7" s="43"/>
      <c r="J7" s="40"/>
      <c r="K7" s="43"/>
      <c r="L7" s="38"/>
      <c r="M7" s="41"/>
      <c r="N7" s="38"/>
      <c r="O7" s="41"/>
      <c r="P7" s="41"/>
    </row>
    <row r="8" spans="1:16" ht="18" customHeight="1">
      <c r="A8" s="70" t="s">
        <v>82</v>
      </c>
      <c r="B8" s="44">
        <v>13</v>
      </c>
      <c r="C8" s="45">
        <v>614.357</v>
      </c>
      <c r="D8" s="46">
        <v>500.494</v>
      </c>
      <c r="E8" s="47">
        <f>D8/C8*100</f>
        <v>81.46631356035661</v>
      </c>
      <c r="F8" s="48">
        <v>542.046</v>
      </c>
      <c r="G8" s="49">
        <f>F8/C8*100</f>
        <v>88.2298077502169</v>
      </c>
      <c r="H8" s="50">
        <v>459.949</v>
      </c>
      <c r="I8" s="47">
        <f>H8/C8*100</f>
        <v>74.86673058173017</v>
      </c>
      <c r="J8" s="48">
        <v>611.947</v>
      </c>
      <c r="K8" s="49">
        <v>99.6</v>
      </c>
      <c r="L8" s="44">
        <v>536</v>
      </c>
      <c r="M8" s="45">
        <v>20.601</v>
      </c>
      <c r="N8" s="44">
        <v>88</v>
      </c>
      <c r="O8" s="45">
        <v>49.645</v>
      </c>
      <c r="P8" s="45">
        <v>364.996</v>
      </c>
    </row>
    <row r="9" spans="1:16" ht="18" customHeight="1">
      <c r="A9" s="27" t="s">
        <v>83</v>
      </c>
      <c r="B9" s="38"/>
      <c r="C9" s="41"/>
      <c r="D9" s="40"/>
      <c r="E9" s="42"/>
      <c r="F9" s="40"/>
      <c r="G9" s="52"/>
      <c r="H9" s="40"/>
      <c r="I9" s="42"/>
      <c r="J9" s="40"/>
      <c r="K9" s="42"/>
      <c r="L9" s="38"/>
      <c r="M9" s="41"/>
      <c r="N9" s="38"/>
      <c r="O9" s="41"/>
      <c r="P9" s="41"/>
    </row>
    <row r="10" spans="1:16" ht="18" customHeight="1">
      <c r="A10" s="29" t="s">
        <v>84</v>
      </c>
      <c r="B10" s="44">
        <f>B6+B8-1</f>
        <v>18</v>
      </c>
      <c r="C10" s="45">
        <f>C6+C8</f>
        <v>1081.5639999999999</v>
      </c>
      <c r="D10" s="53">
        <f>D6+D8</f>
        <v>967.701</v>
      </c>
      <c r="E10" s="54">
        <f>D10/C10*100</f>
        <v>89.47237519000264</v>
      </c>
      <c r="F10" s="55">
        <f>F6+F8</f>
        <v>1009.253</v>
      </c>
      <c r="G10" s="56">
        <f>F10/C10*100</f>
        <v>93.31421903835559</v>
      </c>
      <c r="H10" s="57">
        <f>H6+H8</f>
        <v>927.156</v>
      </c>
      <c r="I10" s="54">
        <f>H10/C10*100</f>
        <v>85.72363725123988</v>
      </c>
      <c r="J10" s="55">
        <f>J6+J8</f>
        <v>1079.154</v>
      </c>
      <c r="K10" s="56">
        <f>J10/C10*100</f>
        <v>99.77717453613472</v>
      </c>
      <c r="L10" s="44">
        <f>L6+L8</f>
        <v>1229</v>
      </c>
      <c r="M10" s="45">
        <f>M6+M8</f>
        <v>59.98</v>
      </c>
      <c r="N10" s="44">
        <f>N6+N8</f>
        <v>140</v>
      </c>
      <c r="O10" s="45">
        <f>O6+O8</f>
        <v>78.144</v>
      </c>
      <c r="P10" s="45">
        <f>P6+P8</f>
        <v>705.317</v>
      </c>
    </row>
    <row r="11" spans="1:16" ht="18" customHeight="1">
      <c r="A11" s="91" t="s">
        <v>19</v>
      </c>
      <c r="B11" s="38"/>
      <c r="C11" s="41"/>
      <c r="D11" s="40"/>
      <c r="E11" s="42"/>
      <c r="F11" s="40"/>
      <c r="G11" s="52"/>
      <c r="H11" s="40"/>
      <c r="I11" s="42"/>
      <c r="J11" s="40"/>
      <c r="K11" s="42"/>
      <c r="L11" s="38"/>
      <c r="M11" s="41"/>
      <c r="N11" s="38"/>
      <c r="O11" s="41"/>
      <c r="P11" s="41"/>
    </row>
    <row r="12" spans="1:16" ht="18" customHeight="1">
      <c r="A12" s="91"/>
      <c r="B12" s="44">
        <v>54</v>
      </c>
      <c r="C12" s="45">
        <v>1095.519</v>
      </c>
      <c r="D12" s="46">
        <v>756.948</v>
      </c>
      <c r="E12" s="54">
        <f>D12/C12*100</f>
        <v>69.09492213279734</v>
      </c>
      <c r="F12" s="48">
        <v>885.168</v>
      </c>
      <c r="G12" s="49">
        <f>F12/C12*100</f>
        <v>80.79896377881168</v>
      </c>
      <c r="H12" s="50">
        <v>633.138</v>
      </c>
      <c r="I12" s="54">
        <f>H12/C12*100</f>
        <v>57.793429415646834</v>
      </c>
      <c r="J12" s="48">
        <v>1067.77</v>
      </c>
      <c r="K12" s="49">
        <v>97.5</v>
      </c>
      <c r="L12" s="44">
        <v>746</v>
      </c>
      <c r="M12" s="45">
        <v>19.117</v>
      </c>
      <c r="N12" s="44">
        <v>56</v>
      </c>
      <c r="O12" s="45">
        <v>21.201</v>
      </c>
      <c r="P12" s="45">
        <v>382.106</v>
      </c>
    </row>
    <row r="13" spans="1:16" ht="18" customHeight="1">
      <c r="A13" s="91" t="s">
        <v>20</v>
      </c>
      <c r="B13" s="38"/>
      <c r="C13" s="41"/>
      <c r="D13" s="40"/>
      <c r="E13" s="42"/>
      <c r="F13" s="40"/>
      <c r="G13" s="52"/>
      <c r="H13" s="40"/>
      <c r="I13" s="42"/>
      <c r="J13" s="40"/>
      <c r="K13" s="42"/>
      <c r="L13" s="38"/>
      <c r="M13" s="41"/>
      <c r="N13" s="38"/>
      <c r="O13" s="41"/>
      <c r="P13" s="41"/>
    </row>
    <row r="14" spans="1:16" ht="18" customHeight="1">
      <c r="A14" s="91"/>
      <c r="B14" s="44">
        <v>189</v>
      </c>
      <c r="C14" s="45">
        <v>1791.406</v>
      </c>
      <c r="D14" s="46">
        <v>741.794</v>
      </c>
      <c r="E14" s="54">
        <f>D14/C14*100</f>
        <v>41.40848026633828</v>
      </c>
      <c r="F14" s="48">
        <v>1081.675</v>
      </c>
      <c r="G14" s="49">
        <f>F14/C14*100</f>
        <v>60.38134292282151</v>
      </c>
      <c r="H14" s="50">
        <v>579.818</v>
      </c>
      <c r="I14" s="54">
        <f>H14/C14*100</f>
        <v>32.36664385404537</v>
      </c>
      <c r="J14" s="48">
        <v>1656.839</v>
      </c>
      <c r="K14" s="49">
        <v>92.5</v>
      </c>
      <c r="L14" s="44">
        <v>1016</v>
      </c>
      <c r="M14" s="45">
        <v>16.498</v>
      </c>
      <c r="N14" s="44">
        <v>22</v>
      </c>
      <c r="O14" s="45">
        <v>5.0497</v>
      </c>
      <c r="P14" s="45">
        <v>298.882</v>
      </c>
    </row>
    <row r="15" spans="1:16" ht="18" customHeight="1">
      <c r="A15" s="27" t="s">
        <v>56</v>
      </c>
      <c r="B15" s="38"/>
      <c r="C15" s="41"/>
      <c r="D15" s="40"/>
      <c r="E15" s="42"/>
      <c r="F15" s="40"/>
      <c r="G15" s="52"/>
      <c r="H15" s="40"/>
      <c r="I15" s="42"/>
      <c r="J15" s="40"/>
      <c r="K15" s="42"/>
      <c r="L15" s="38"/>
      <c r="M15" s="41"/>
      <c r="N15" s="38"/>
      <c r="O15" s="41"/>
      <c r="P15" s="41"/>
    </row>
    <row r="16" spans="1:16" ht="18" customHeight="1">
      <c r="A16" s="29" t="s">
        <v>55</v>
      </c>
      <c r="B16" s="44">
        <f>B12+B14</f>
        <v>243</v>
      </c>
      <c r="C16" s="45">
        <f>C12+C14</f>
        <v>2886.925</v>
      </c>
      <c r="D16" s="53">
        <f>D12+D14</f>
        <v>1498.742</v>
      </c>
      <c r="E16" s="54">
        <f>D16/C16*100</f>
        <v>51.914822865159294</v>
      </c>
      <c r="F16" s="55">
        <f>F12+F14</f>
        <v>1966.8429999999998</v>
      </c>
      <c r="G16" s="56">
        <f>F16/C16*100</f>
        <v>68.12934177368652</v>
      </c>
      <c r="H16" s="57">
        <f>H12+H14</f>
        <v>1212.9560000000001</v>
      </c>
      <c r="I16" s="54">
        <f>H16/C16*100</f>
        <v>42.01550092226158</v>
      </c>
      <c r="J16" s="55">
        <f>J12+J14</f>
        <v>2724.609</v>
      </c>
      <c r="K16" s="56">
        <f>J16/C16*100</f>
        <v>94.3775470440001</v>
      </c>
      <c r="L16" s="44">
        <f>L12+L14</f>
        <v>1762</v>
      </c>
      <c r="M16" s="45">
        <f>M12+M14</f>
        <v>35.615</v>
      </c>
      <c r="N16" s="44">
        <f>N12+N14</f>
        <v>78</v>
      </c>
      <c r="O16" s="45">
        <f>O12+O14</f>
        <v>26.250700000000002</v>
      </c>
      <c r="P16" s="45">
        <f>P12+P14</f>
        <v>680.988</v>
      </c>
    </row>
    <row r="17" spans="1:16" ht="18" customHeight="1">
      <c r="A17" s="69" t="s">
        <v>61</v>
      </c>
      <c r="B17" s="58"/>
      <c r="C17" s="59"/>
      <c r="D17" s="60"/>
      <c r="E17" s="61"/>
      <c r="F17" s="60"/>
      <c r="G17" s="62"/>
      <c r="H17" s="60"/>
      <c r="I17" s="61"/>
      <c r="J17" s="60"/>
      <c r="K17" s="61"/>
      <c r="L17" s="58"/>
      <c r="M17" s="59"/>
      <c r="N17" s="58"/>
      <c r="O17" s="59"/>
      <c r="P17" s="59"/>
    </row>
    <row r="18" spans="1:16" ht="18" customHeight="1">
      <c r="A18" s="29" t="s">
        <v>55</v>
      </c>
      <c r="B18" s="44">
        <f>B10+B16</f>
        <v>261</v>
      </c>
      <c r="C18" s="45">
        <f>C10+C16</f>
        <v>3968.489</v>
      </c>
      <c r="D18" s="53">
        <f>D10+D16</f>
        <v>2466.443</v>
      </c>
      <c r="E18" s="54">
        <f>D18/C18*100</f>
        <v>62.15068253937456</v>
      </c>
      <c r="F18" s="55">
        <f>F10+F16</f>
        <v>2976.096</v>
      </c>
      <c r="G18" s="56">
        <f>F18/C18*100</f>
        <v>74.99317750408278</v>
      </c>
      <c r="H18" s="57">
        <f>H10+H16</f>
        <v>2140.112</v>
      </c>
      <c r="I18" s="54">
        <f>H18/C18*100</f>
        <v>53.92762837442664</v>
      </c>
      <c r="J18" s="55">
        <f>J10+J16</f>
        <v>3803.763</v>
      </c>
      <c r="K18" s="56">
        <f>J18/C18*100</f>
        <v>95.8491506465055</v>
      </c>
      <c r="L18" s="44">
        <f>L10+L16</f>
        <v>2991</v>
      </c>
      <c r="M18" s="45">
        <f>M10+M16</f>
        <v>95.595</v>
      </c>
      <c r="N18" s="44">
        <f>N10+N16</f>
        <v>218</v>
      </c>
      <c r="O18" s="45">
        <f>O10+O16</f>
        <v>104.3947</v>
      </c>
      <c r="P18" s="45">
        <f>P10+P16</f>
        <v>1386.305</v>
      </c>
    </row>
    <row r="19" spans="1:16" ht="18" customHeight="1">
      <c r="A19" s="27" t="s">
        <v>57</v>
      </c>
      <c r="B19" s="58"/>
      <c r="C19" s="59"/>
      <c r="D19" s="60"/>
      <c r="E19" s="61"/>
      <c r="F19" s="60"/>
      <c r="G19" s="62"/>
      <c r="H19" s="60"/>
      <c r="I19" s="61"/>
      <c r="J19" s="60"/>
      <c r="K19" s="61"/>
      <c r="L19" s="58"/>
      <c r="M19" s="59"/>
      <c r="N19" s="58"/>
      <c r="O19" s="59"/>
      <c r="P19" s="59"/>
    </row>
    <row r="20" spans="1:16" ht="18" customHeight="1">
      <c r="A20" s="29" t="s">
        <v>55</v>
      </c>
      <c r="B20" s="44">
        <f>B8+B16</f>
        <v>256</v>
      </c>
      <c r="C20" s="45">
        <f aca="true" t="shared" si="0" ref="C20:P20">C8+C16</f>
        <v>3501.282</v>
      </c>
      <c r="D20" s="53">
        <f t="shared" si="0"/>
        <v>1999.2359999999999</v>
      </c>
      <c r="E20" s="54">
        <f>D20/C20*100</f>
        <v>57.10011361552711</v>
      </c>
      <c r="F20" s="55">
        <f t="shared" si="0"/>
        <v>2508.889</v>
      </c>
      <c r="G20" s="56">
        <f>F20/C20*100</f>
        <v>71.65629617951367</v>
      </c>
      <c r="H20" s="57">
        <f t="shared" si="0"/>
        <v>1672.9050000000002</v>
      </c>
      <c r="I20" s="54">
        <f>H20/C20*100</f>
        <v>47.77978466173248</v>
      </c>
      <c r="J20" s="55">
        <f t="shared" si="0"/>
        <v>3336.556</v>
      </c>
      <c r="K20" s="56">
        <f>J20/C20*100</f>
        <v>95.29526613394751</v>
      </c>
      <c r="L20" s="44">
        <f t="shared" si="0"/>
        <v>2298</v>
      </c>
      <c r="M20" s="45">
        <f t="shared" si="0"/>
        <v>56.216</v>
      </c>
      <c r="N20" s="44">
        <f>N8+N16</f>
        <v>166</v>
      </c>
      <c r="O20" s="45">
        <f>O8+O16</f>
        <v>75.8957</v>
      </c>
      <c r="P20" s="45">
        <f t="shared" si="0"/>
        <v>1045.984</v>
      </c>
    </row>
    <row r="21" spans="1:16" ht="18" customHeight="1">
      <c r="A21" s="91" t="s">
        <v>24</v>
      </c>
      <c r="B21" s="38"/>
      <c r="C21" s="41"/>
      <c r="D21" s="40"/>
      <c r="E21" s="42"/>
      <c r="F21" s="40"/>
      <c r="G21" s="52"/>
      <c r="H21" s="40"/>
      <c r="I21" s="42"/>
      <c r="J21" s="40"/>
      <c r="K21" s="42"/>
      <c r="L21" s="38"/>
      <c r="M21" s="41"/>
      <c r="N21" s="38"/>
      <c r="O21" s="41"/>
      <c r="P21" s="41"/>
    </row>
    <row r="22" spans="1:16" ht="18" customHeight="1">
      <c r="A22" s="91"/>
      <c r="B22" s="44">
        <v>1069</v>
      </c>
      <c r="C22" s="45">
        <v>1562.042</v>
      </c>
      <c r="D22" s="53">
        <v>575.333</v>
      </c>
      <c r="E22" s="54">
        <f>D22/C22*100</f>
        <v>36.832108227563666</v>
      </c>
      <c r="F22" s="55">
        <v>1246.45</v>
      </c>
      <c r="G22" s="56">
        <f>F22/C22*100</f>
        <v>79.79618985917153</v>
      </c>
      <c r="H22" s="57">
        <v>305.317</v>
      </c>
      <c r="I22" s="54">
        <f>H22/C22*100</f>
        <v>19.546017328599362</v>
      </c>
      <c r="J22" s="55">
        <v>1503.348</v>
      </c>
      <c r="K22" s="56">
        <f>J22/C22*100</f>
        <v>96.24248259649869</v>
      </c>
      <c r="L22" s="44">
        <v>1155</v>
      </c>
      <c r="M22" s="45">
        <v>20.215</v>
      </c>
      <c r="N22" s="44">
        <v>21</v>
      </c>
      <c r="O22" s="45">
        <f>4841/1000</f>
        <v>4.841</v>
      </c>
      <c r="P22" s="45">
        <v>289.619</v>
      </c>
    </row>
    <row r="23" spans="1:16" ht="18" customHeight="1">
      <c r="A23" s="91" t="s">
        <v>25</v>
      </c>
      <c r="B23" s="38"/>
      <c r="C23" s="41"/>
      <c r="D23" s="40"/>
      <c r="E23" s="42"/>
      <c r="F23" s="40"/>
      <c r="G23" s="52"/>
      <c r="H23" s="40"/>
      <c r="I23" s="42"/>
      <c r="J23" s="40"/>
      <c r="K23" s="42"/>
      <c r="L23" s="38"/>
      <c r="M23" s="41"/>
      <c r="N23" s="38"/>
      <c r="O23" s="41"/>
      <c r="P23" s="41"/>
    </row>
    <row r="24" spans="1:16" ht="18" customHeight="1">
      <c r="A24" s="91"/>
      <c r="B24" s="44">
        <v>1395</v>
      </c>
      <c r="C24" s="45">
        <v>1646.563</v>
      </c>
      <c r="D24" s="53">
        <v>232.497</v>
      </c>
      <c r="E24" s="54">
        <f>D24/C24*100</f>
        <v>14.12013995213059</v>
      </c>
      <c r="F24" s="55">
        <v>1061.278</v>
      </c>
      <c r="G24" s="56">
        <f>F24/C24*100</f>
        <v>64.45413871197154</v>
      </c>
      <c r="H24" s="57">
        <v>147.447</v>
      </c>
      <c r="I24" s="54">
        <f>H24/C24*100</f>
        <v>8.954835010868093</v>
      </c>
      <c r="J24" s="55">
        <v>1546.216</v>
      </c>
      <c r="K24" s="56">
        <f>J24/C24*100</f>
        <v>93.90566896013088</v>
      </c>
      <c r="L24" s="44">
        <v>1217</v>
      </c>
      <c r="M24" s="45">
        <v>12.291</v>
      </c>
      <c r="N24" s="44">
        <v>4</v>
      </c>
      <c r="O24" s="45">
        <f>640/1000</f>
        <v>0.64</v>
      </c>
      <c r="P24" s="45">
        <v>69.472</v>
      </c>
    </row>
    <row r="25" spans="1:16" ht="18" customHeight="1">
      <c r="A25" s="27" t="s">
        <v>85</v>
      </c>
      <c r="B25" s="38"/>
      <c r="C25" s="41"/>
      <c r="D25" s="40"/>
      <c r="E25" s="42"/>
      <c r="F25" s="40"/>
      <c r="G25" s="52"/>
      <c r="H25" s="40"/>
      <c r="I25" s="42"/>
      <c r="J25" s="40"/>
      <c r="K25" s="42"/>
      <c r="L25" s="38"/>
      <c r="M25" s="41"/>
      <c r="N25" s="38"/>
      <c r="O25" s="41"/>
      <c r="P25" s="41"/>
    </row>
    <row r="26" spans="1:16" ht="18" customHeight="1">
      <c r="A26" s="29" t="s">
        <v>86</v>
      </c>
      <c r="B26" s="44">
        <f>B22+B24</f>
        <v>2464</v>
      </c>
      <c r="C26" s="45">
        <f>C22+C24</f>
        <v>3208.605</v>
      </c>
      <c r="D26" s="53">
        <f>D22+D24</f>
        <v>807.8299999999999</v>
      </c>
      <c r="E26" s="54">
        <f>D26/C26*100</f>
        <v>25.1769850137365</v>
      </c>
      <c r="F26" s="55">
        <f>F22+F24</f>
        <v>2307.728</v>
      </c>
      <c r="G26" s="56">
        <f>F26/C26*100</f>
        <v>71.92309430422256</v>
      </c>
      <c r="H26" s="57">
        <f>H22+H24</f>
        <v>452.764</v>
      </c>
      <c r="I26" s="54">
        <f>H26/C26*100</f>
        <v>14.110929827760039</v>
      </c>
      <c r="J26" s="55">
        <f>J22+J24</f>
        <v>3049.564</v>
      </c>
      <c r="K26" s="56">
        <f>J26/C26*100</f>
        <v>95.04329763246021</v>
      </c>
      <c r="L26" s="44">
        <f>L22+L24</f>
        <v>2372</v>
      </c>
      <c r="M26" s="45">
        <f>M22+M24</f>
        <v>32.506</v>
      </c>
      <c r="N26" s="44">
        <f>N22+N24</f>
        <v>25</v>
      </c>
      <c r="O26" s="45">
        <f>O22+O24</f>
        <v>5.481</v>
      </c>
      <c r="P26" s="45">
        <f>P22+P24</f>
        <v>359.091</v>
      </c>
    </row>
    <row r="27" spans="1:16" ht="18" customHeight="1">
      <c r="A27" s="90" t="s">
        <v>87</v>
      </c>
      <c r="B27" s="38"/>
      <c r="C27" s="41"/>
      <c r="D27" s="40"/>
      <c r="E27" s="42"/>
      <c r="F27" s="40"/>
      <c r="G27" s="52"/>
      <c r="H27" s="40"/>
      <c r="I27" s="42"/>
      <c r="J27" s="40"/>
      <c r="K27" s="42"/>
      <c r="L27" s="38"/>
      <c r="M27" s="41"/>
      <c r="N27" s="38"/>
      <c r="O27" s="41"/>
      <c r="P27" s="41"/>
    </row>
    <row r="28" spans="1:16" ht="18" customHeight="1">
      <c r="A28" s="90"/>
      <c r="B28" s="44">
        <v>26604</v>
      </c>
      <c r="C28" s="45">
        <v>10982.611</v>
      </c>
      <c r="D28" s="53">
        <v>767.547</v>
      </c>
      <c r="E28" s="54">
        <f>D28/C28*100</f>
        <v>6.988747939811398</v>
      </c>
      <c r="F28" s="55">
        <v>4888.822</v>
      </c>
      <c r="G28" s="56">
        <f>F28/C28*100</f>
        <v>44.51420522861093</v>
      </c>
      <c r="H28" s="57">
        <v>1374.426</v>
      </c>
      <c r="I28" s="54">
        <f>H28/C28*100</f>
        <v>12.514565070182307</v>
      </c>
      <c r="J28" s="55">
        <v>9013.508</v>
      </c>
      <c r="K28" s="56">
        <f>J28/C28*100</f>
        <v>82.07072070566825</v>
      </c>
      <c r="L28" s="44">
        <v>6826</v>
      </c>
      <c r="M28" s="45">
        <v>60.99</v>
      </c>
      <c r="N28" s="44">
        <v>36</v>
      </c>
      <c r="O28" s="45">
        <v>7.249</v>
      </c>
      <c r="P28" s="45">
        <v>203.054</v>
      </c>
    </row>
    <row r="29" spans="1:16" ht="18" customHeight="1">
      <c r="A29" s="27" t="s">
        <v>88</v>
      </c>
      <c r="B29" s="38"/>
      <c r="C29" s="41"/>
      <c r="D29" s="40"/>
      <c r="E29" s="42"/>
      <c r="F29" s="40"/>
      <c r="G29" s="52"/>
      <c r="H29" s="40"/>
      <c r="I29" s="42"/>
      <c r="J29" s="40"/>
      <c r="K29" s="42"/>
      <c r="L29" s="38"/>
      <c r="M29" s="41"/>
      <c r="N29" s="38"/>
      <c r="O29" s="41"/>
      <c r="P29" s="41"/>
    </row>
    <row r="30" spans="1:16" ht="18" customHeight="1">
      <c r="A30" s="29" t="s">
        <v>89</v>
      </c>
      <c r="B30" s="44">
        <f>B26+B28</f>
        <v>29068</v>
      </c>
      <c r="C30" s="45">
        <f>C26+C28</f>
        <v>14191.216</v>
      </c>
      <c r="D30" s="53">
        <f>D26+D28</f>
        <v>1575.377</v>
      </c>
      <c r="E30" s="54">
        <f>D30/C30*100</f>
        <v>11.101071254218102</v>
      </c>
      <c r="F30" s="55">
        <f>F26+F28</f>
        <v>7196.55</v>
      </c>
      <c r="G30" s="56">
        <f>F30/C30*100</f>
        <v>50.71129915857809</v>
      </c>
      <c r="H30" s="57">
        <f>H26+H28</f>
        <v>1827.19</v>
      </c>
      <c r="I30" s="54">
        <f>H30/C30*100</f>
        <v>12.875499886690472</v>
      </c>
      <c r="J30" s="55">
        <f>J26+J28</f>
        <v>12063.072</v>
      </c>
      <c r="K30" s="56">
        <f>J30/C30*100</f>
        <v>85.00379389616788</v>
      </c>
      <c r="L30" s="44">
        <f>L26+L28</f>
        <v>9198</v>
      </c>
      <c r="M30" s="45">
        <f>M26+M28</f>
        <v>93.49600000000001</v>
      </c>
      <c r="N30" s="44">
        <f>N26+N28</f>
        <v>61</v>
      </c>
      <c r="O30" s="45">
        <f>O26+O28</f>
        <v>12.73</v>
      </c>
      <c r="P30" s="45">
        <f>P26+P28</f>
        <v>562.145</v>
      </c>
    </row>
    <row r="31" spans="1:16" ht="18" customHeight="1">
      <c r="A31" s="91" t="s">
        <v>28</v>
      </c>
      <c r="B31" s="38"/>
      <c r="C31" s="41"/>
      <c r="D31" s="40"/>
      <c r="E31" s="42"/>
      <c r="F31" s="40"/>
      <c r="G31" s="52"/>
      <c r="H31" s="40"/>
      <c r="I31" s="42"/>
      <c r="J31" s="40"/>
      <c r="K31" s="42"/>
      <c r="L31" s="38"/>
      <c r="M31" s="41"/>
      <c r="N31" s="38"/>
      <c r="O31" s="41"/>
      <c r="P31" s="41"/>
    </row>
    <row r="32" spans="1:16" ht="18" customHeight="1">
      <c r="A32" s="91"/>
      <c r="B32" s="44">
        <f>B18+B30</f>
        <v>29329</v>
      </c>
      <c r="C32" s="45">
        <f>C18+C30</f>
        <v>18159.705</v>
      </c>
      <c r="D32" s="53">
        <f>D18+D30</f>
        <v>4041.82</v>
      </c>
      <c r="E32" s="54">
        <f>D32/C32*100</f>
        <v>22.257079616656767</v>
      </c>
      <c r="F32" s="55">
        <f>F18+F30</f>
        <v>10172.646</v>
      </c>
      <c r="G32" s="56">
        <f>F32/C32*100</f>
        <v>56.01768310663636</v>
      </c>
      <c r="H32" s="57">
        <f>H18+H30</f>
        <v>3967.302</v>
      </c>
      <c r="I32" s="54">
        <f>H32/C32*100</f>
        <v>21.846731541068536</v>
      </c>
      <c r="J32" s="55">
        <f>J18+J30</f>
        <v>15866.835</v>
      </c>
      <c r="K32" s="56">
        <f>J32/C32*100</f>
        <v>87.37385877138422</v>
      </c>
      <c r="L32" s="44">
        <f>L18+L30</f>
        <v>12189</v>
      </c>
      <c r="M32" s="45">
        <f>M18+M30</f>
        <v>189.091</v>
      </c>
      <c r="N32" s="44">
        <f>N18+N30</f>
        <v>279</v>
      </c>
      <c r="O32" s="45">
        <f>O18+O30</f>
        <v>117.1247</v>
      </c>
      <c r="P32" s="45">
        <f>P18+P30</f>
        <v>1948.45</v>
      </c>
    </row>
    <row r="33" spans="1:16" ht="14.25" customHeight="1">
      <c r="A33" s="31" t="s">
        <v>31</v>
      </c>
      <c r="B33" s="33"/>
      <c r="C33" s="39"/>
      <c r="D33" s="39"/>
      <c r="E33" s="34"/>
      <c r="F33" s="39"/>
      <c r="G33" s="34"/>
      <c r="H33" s="39"/>
      <c r="I33" s="34"/>
      <c r="J33" s="39"/>
      <c r="K33" s="34"/>
      <c r="L33" s="35"/>
      <c r="M33" s="37"/>
      <c r="N33" s="35"/>
      <c r="O33" s="37"/>
      <c r="P33" s="37"/>
    </row>
    <row r="34" ht="13.5">
      <c r="A34" s="31" t="s">
        <v>32</v>
      </c>
    </row>
    <row r="35" ht="13.5">
      <c r="A35" s="31" t="s">
        <v>33</v>
      </c>
    </row>
    <row r="36" ht="13.5">
      <c r="A36" s="31" t="s">
        <v>90</v>
      </c>
    </row>
    <row r="37" ht="13.5">
      <c r="A37" s="31" t="s">
        <v>91</v>
      </c>
    </row>
    <row r="38" ht="13.5">
      <c r="A38" s="31" t="s">
        <v>92</v>
      </c>
    </row>
  </sheetData>
  <sheetProtection/>
  <mergeCells count="24">
    <mergeCell ref="A27:A28"/>
    <mergeCell ref="A31:A32"/>
    <mergeCell ref="D4:E4"/>
    <mergeCell ref="H4:I4"/>
    <mergeCell ref="A11:A12"/>
    <mergeCell ref="A13:A14"/>
    <mergeCell ref="A21:A22"/>
    <mergeCell ref="A23:A24"/>
    <mergeCell ref="A1:P1"/>
    <mergeCell ref="A2:A4"/>
    <mergeCell ref="B2:B4"/>
    <mergeCell ref="C2:C4"/>
    <mergeCell ref="D2:G2"/>
    <mergeCell ref="H2:K2"/>
    <mergeCell ref="L2:M2"/>
    <mergeCell ref="N2:O2"/>
    <mergeCell ref="H3:I3"/>
    <mergeCell ref="J3:K4"/>
    <mergeCell ref="D3:E3"/>
    <mergeCell ref="F3:G4"/>
    <mergeCell ref="N3:N4"/>
    <mergeCell ref="O3:O4"/>
    <mergeCell ref="L3:L4"/>
    <mergeCell ref="M3:M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J8" sqref="J8"/>
    </sheetView>
  </sheetViews>
  <sheetFormatPr defaultColWidth="8.875" defaultRowHeight="13.5"/>
  <cols>
    <col min="1" max="1" width="14.25390625" style="14" customWidth="1"/>
    <col min="2" max="2" width="8.875" style="32" customWidth="1"/>
    <col min="3" max="3" width="9.875" style="36" customWidth="1"/>
    <col min="4" max="4" width="14.75390625" style="36" customWidth="1"/>
    <col min="5" max="5" width="13.125" style="32" customWidth="1"/>
    <col min="6" max="6" width="10.75390625" style="36" customWidth="1"/>
    <col min="7" max="7" width="9.75390625" style="32" customWidth="1"/>
    <col min="8" max="8" width="14.75390625" style="36" customWidth="1"/>
    <col min="9" max="9" width="13.125" style="32" customWidth="1"/>
    <col min="10" max="10" width="10.75390625" style="36" customWidth="1"/>
    <col min="11" max="11" width="10.25390625" style="32" customWidth="1"/>
    <col min="12" max="12" width="8.875" style="32" customWidth="1"/>
    <col min="13" max="13" width="7.75390625" style="36" bestFit="1" customWidth="1"/>
    <col min="14" max="14" width="8.875" style="32" customWidth="1"/>
    <col min="15" max="15" width="9.00390625" style="36" bestFit="1" customWidth="1"/>
    <col min="16" max="16" width="9.625" style="36" bestFit="1" customWidth="1"/>
    <col min="17" max="16384" width="8.875" style="32" customWidth="1"/>
  </cols>
  <sheetData>
    <row r="1" spans="1:16" ht="36" customHeight="1">
      <c r="A1" s="75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5.5" customHeight="1">
      <c r="A2" s="76" t="s">
        <v>0</v>
      </c>
      <c r="B2" s="76" t="s">
        <v>1</v>
      </c>
      <c r="C2" s="78" t="s">
        <v>2</v>
      </c>
      <c r="D2" s="80" t="s">
        <v>3</v>
      </c>
      <c r="E2" s="80"/>
      <c r="F2" s="80"/>
      <c r="G2" s="80"/>
      <c r="H2" s="80" t="s">
        <v>4</v>
      </c>
      <c r="I2" s="80"/>
      <c r="J2" s="80"/>
      <c r="K2" s="80"/>
      <c r="L2" s="76" t="s">
        <v>5</v>
      </c>
      <c r="M2" s="76"/>
      <c r="N2" s="76" t="s">
        <v>6</v>
      </c>
      <c r="O2" s="76"/>
      <c r="P2" s="58" t="s">
        <v>7</v>
      </c>
    </row>
    <row r="3" spans="1:16" ht="13.5">
      <c r="A3" s="76"/>
      <c r="B3" s="76"/>
      <c r="C3" s="79"/>
      <c r="D3" s="81"/>
      <c r="E3" s="82"/>
      <c r="F3" s="82" t="s">
        <v>8</v>
      </c>
      <c r="G3" s="83"/>
      <c r="H3" s="86"/>
      <c r="I3" s="87"/>
      <c r="J3" s="82" t="s">
        <v>9</v>
      </c>
      <c r="K3" s="83"/>
      <c r="L3" s="88" t="s">
        <v>10</v>
      </c>
      <c r="M3" s="80" t="s">
        <v>11</v>
      </c>
      <c r="N3" s="76" t="s">
        <v>10</v>
      </c>
      <c r="O3" s="80" t="s">
        <v>11</v>
      </c>
      <c r="P3" s="63" t="s">
        <v>12</v>
      </c>
    </row>
    <row r="4" spans="1:16" ht="13.5">
      <c r="A4" s="76"/>
      <c r="B4" s="77"/>
      <c r="C4" s="79"/>
      <c r="D4" s="81" t="s">
        <v>13</v>
      </c>
      <c r="E4" s="83"/>
      <c r="F4" s="84"/>
      <c r="G4" s="85"/>
      <c r="H4" s="81" t="s">
        <v>14</v>
      </c>
      <c r="I4" s="83"/>
      <c r="J4" s="84"/>
      <c r="K4" s="85"/>
      <c r="L4" s="89"/>
      <c r="M4" s="78"/>
      <c r="N4" s="77"/>
      <c r="O4" s="78"/>
      <c r="P4" s="63" t="s">
        <v>15</v>
      </c>
    </row>
    <row r="5" spans="1:16" ht="18" customHeight="1">
      <c r="A5" s="64" t="s">
        <v>52</v>
      </c>
      <c r="B5" s="38"/>
      <c r="C5" s="41"/>
      <c r="D5" s="66"/>
      <c r="E5" s="67"/>
      <c r="F5" s="67"/>
      <c r="G5" s="68"/>
      <c r="H5" s="66"/>
      <c r="I5" s="67"/>
      <c r="J5" s="67"/>
      <c r="K5" s="67"/>
      <c r="L5" s="38"/>
      <c r="M5" s="41"/>
      <c r="N5" s="38"/>
      <c r="O5" s="41"/>
      <c r="P5" s="41"/>
    </row>
    <row r="6" spans="1:16" ht="18" customHeight="1">
      <c r="A6" s="65" t="s">
        <v>53</v>
      </c>
      <c r="B6" s="44">
        <v>6</v>
      </c>
      <c r="C6" s="45">
        <f>470899/1000</f>
        <v>470.899</v>
      </c>
      <c r="D6" s="53">
        <f>470899/1000</f>
        <v>470.899</v>
      </c>
      <c r="E6" s="54">
        <f>D6/C6*100</f>
        <v>100</v>
      </c>
      <c r="F6" s="55">
        <f>470899/1000</f>
        <v>470.899</v>
      </c>
      <c r="G6" s="56">
        <f>F6/C6*100</f>
        <v>100</v>
      </c>
      <c r="H6" s="57">
        <f>470899/1000</f>
        <v>470.899</v>
      </c>
      <c r="I6" s="54">
        <f>H6/C6*100</f>
        <v>100</v>
      </c>
      <c r="J6" s="55">
        <f>470899/1000</f>
        <v>470.899</v>
      </c>
      <c r="K6" s="56">
        <f>J6/C6*100</f>
        <v>100</v>
      </c>
      <c r="L6" s="44">
        <v>709</v>
      </c>
      <c r="M6" s="45">
        <f>41715/1000</f>
        <v>41.715</v>
      </c>
      <c r="N6" s="44">
        <v>53</v>
      </c>
      <c r="O6" s="45">
        <f>26221/1000</f>
        <v>26.221</v>
      </c>
      <c r="P6" s="45">
        <f>343995/1000</f>
        <v>343.995</v>
      </c>
    </row>
    <row r="7" spans="1:16" ht="18" customHeight="1">
      <c r="A7" s="27" t="s">
        <v>54</v>
      </c>
      <c r="B7" s="38"/>
      <c r="C7" s="41"/>
      <c r="D7" s="40"/>
      <c r="E7" s="43"/>
      <c r="F7" s="40"/>
      <c r="G7" s="51"/>
      <c r="H7" s="40"/>
      <c r="I7" s="43"/>
      <c r="J7" s="40"/>
      <c r="K7" s="43"/>
      <c r="L7" s="38"/>
      <c r="M7" s="41"/>
      <c r="N7" s="38"/>
      <c r="O7" s="41"/>
      <c r="P7" s="41"/>
    </row>
    <row r="8" spans="1:16" ht="18" customHeight="1">
      <c r="A8" s="70" t="s">
        <v>62</v>
      </c>
      <c r="B8" s="44">
        <v>13</v>
      </c>
      <c r="C8" s="45">
        <v>605.305</v>
      </c>
      <c r="D8" s="46">
        <v>490.1197</v>
      </c>
      <c r="E8" s="47">
        <v>81</v>
      </c>
      <c r="F8" s="48">
        <v>531.8829</v>
      </c>
      <c r="G8" s="49">
        <v>87.9</v>
      </c>
      <c r="H8" s="50">
        <v>449.685</v>
      </c>
      <c r="I8" s="47">
        <v>74.3</v>
      </c>
      <c r="J8" s="48">
        <v>602.8339</v>
      </c>
      <c r="K8" s="49">
        <v>99.6</v>
      </c>
      <c r="L8" s="44">
        <v>535</v>
      </c>
      <c r="M8" s="45">
        <v>20.5969</v>
      </c>
      <c r="N8" s="44">
        <v>86</v>
      </c>
      <c r="O8" s="45">
        <v>48.8961</v>
      </c>
      <c r="P8" s="45">
        <v>360.5108</v>
      </c>
    </row>
    <row r="9" spans="1:16" ht="18" customHeight="1">
      <c r="A9" s="27" t="s">
        <v>54</v>
      </c>
      <c r="B9" s="38"/>
      <c r="C9" s="41"/>
      <c r="D9" s="40"/>
      <c r="E9" s="42"/>
      <c r="F9" s="40"/>
      <c r="G9" s="52"/>
      <c r="H9" s="40"/>
      <c r="I9" s="42"/>
      <c r="J9" s="40"/>
      <c r="K9" s="42"/>
      <c r="L9" s="38"/>
      <c r="M9" s="41"/>
      <c r="N9" s="38"/>
      <c r="O9" s="41"/>
      <c r="P9" s="41"/>
    </row>
    <row r="10" spans="1:16" ht="18" customHeight="1">
      <c r="A10" s="29" t="s">
        <v>55</v>
      </c>
      <c r="B10" s="44">
        <f>B6+B8-1</f>
        <v>18</v>
      </c>
      <c r="C10" s="45">
        <f>C6+C8</f>
        <v>1076.204</v>
      </c>
      <c r="D10" s="53">
        <f>D6+D8</f>
        <v>961.0187000000001</v>
      </c>
      <c r="E10" s="54">
        <f>D10/C10*100</f>
        <v>89.29707564736799</v>
      </c>
      <c r="F10" s="55">
        <f>F6+F8</f>
        <v>1002.7819</v>
      </c>
      <c r="G10" s="56">
        <f>F10/C10*100</f>
        <v>93.17767820970745</v>
      </c>
      <c r="H10" s="57">
        <f>H6+H8</f>
        <v>920.5840000000001</v>
      </c>
      <c r="I10" s="54">
        <f>H10/C10*100</f>
        <v>85.53991622406161</v>
      </c>
      <c r="J10" s="55">
        <f>J6+J8</f>
        <v>1073.7329</v>
      </c>
      <c r="K10" s="56">
        <f>J10/C10*100</f>
        <v>99.77038739867163</v>
      </c>
      <c r="L10" s="44">
        <f>L6+L8</f>
        <v>1244</v>
      </c>
      <c r="M10" s="45">
        <f>M6+M8</f>
        <v>62.31190000000001</v>
      </c>
      <c r="N10" s="44">
        <f>N6+N8</f>
        <v>139</v>
      </c>
      <c r="O10" s="45">
        <f>O6+O8</f>
        <v>75.1171</v>
      </c>
      <c r="P10" s="45">
        <f>P6+P8</f>
        <v>704.5058</v>
      </c>
    </row>
    <row r="11" spans="1:16" ht="18" customHeight="1">
      <c r="A11" s="91" t="s">
        <v>19</v>
      </c>
      <c r="B11" s="38"/>
      <c r="C11" s="41"/>
      <c r="D11" s="40"/>
      <c r="E11" s="42"/>
      <c r="F11" s="40"/>
      <c r="G11" s="52"/>
      <c r="H11" s="40"/>
      <c r="I11" s="42"/>
      <c r="J11" s="40"/>
      <c r="K11" s="42"/>
      <c r="L11" s="38"/>
      <c r="M11" s="41"/>
      <c r="N11" s="38"/>
      <c r="O11" s="41"/>
      <c r="P11" s="41"/>
    </row>
    <row r="12" spans="1:16" ht="18" customHeight="1">
      <c r="A12" s="91"/>
      <c r="B12" s="44">
        <v>54</v>
      </c>
      <c r="C12" s="45">
        <v>1095.621</v>
      </c>
      <c r="D12" s="46">
        <v>754.4184</v>
      </c>
      <c r="E12" s="47">
        <v>68.9</v>
      </c>
      <c r="F12" s="48">
        <v>882.2789</v>
      </c>
      <c r="G12" s="49">
        <v>80.5</v>
      </c>
      <c r="H12" s="50">
        <v>631.2792</v>
      </c>
      <c r="I12" s="47">
        <v>57.6</v>
      </c>
      <c r="J12" s="48">
        <v>1067.8696</v>
      </c>
      <c r="K12" s="49">
        <v>97.5</v>
      </c>
      <c r="L12" s="44">
        <v>748</v>
      </c>
      <c r="M12" s="45">
        <v>19.1346</v>
      </c>
      <c r="N12" s="44">
        <v>56</v>
      </c>
      <c r="O12" s="45">
        <v>21.1996</v>
      </c>
      <c r="P12" s="45">
        <v>381.3435</v>
      </c>
    </row>
    <row r="13" spans="1:16" ht="18" customHeight="1">
      <c r="A13" s="91" t="s">
        <v>20</v>
      </c>
      <c r="B13" s="38"/>
      <c r="C13" s="41"/>
      <c r="D13" s="40"/>
      <c r="E13" s="42"/>
      <c r="F13" s="40"/>
      <c r="G13" s="52"/>
      <c r="H13" s="40"/>
      <c r="I13" s="42"/>
      <c r="J13" s="40"/>
      <c r="K13" s="42"/>
      <c r="L13" s="38"/>
      <c r="M13" s="41"/>
      <c r="N13" s="38"/>
      <c r="O13" s="41"/>
      <c r="P13" s="41"/>
    </row>
    <row r="14" spans="1:16" ht="18" customHeight="1">
      <c r="A14" s="91"/>
      <c r="B14" s="44">
        <v>189</v>
      </c>
      <c r="C14" s="45">
        <v>1791.5584</v>
      </c>
      <c r="D14" s="46">
        <v>736.7572</v>
      </c>
      <c r="E14" s="47">
        <v>41.1</v>
      </c>
      <c r="F14" s="48">
        <v>1077.4043</v>
      </c>
      <c r="G14" s="49">
        <v>60.1</v>
      </c>
      <c r="H14" s="50">
        <v>575.3478</v>
      </c>
      <c r="I14" s="47">
        <v>32.1</v>
      </c>
      <c r="J14" s="48">
        <v>1656.8251</v>
      </c>
      <c r="K14" s="49">
        <v>92.5</v>
      </c>
      <c r="L14" s="44">
        <v>1010</v>
      </c>
      <c r="M14" s="45">
        <v>16.4422</v>
      </c>
      <c r="N14" s="44">
        <v>22</v>
      </c>
      <c r="O14" s="45">
        <v>5.0497</v>
      </c>
      <c r="P14" s="45">
        <v>296.0825</v>
      </c>
    </row>
    <row r="15" spans="1:16" ht="18" customHeight="1">
      <c r="A15" s="27" t="s">
        <v>56</v>
      </c>
      <c r="B15" s="38"/>
      <c r="C15" s="41"/>
      <c r="D15" s="40"/>
      <c r="E15" s="42"/>
      <c r="F15" s="40"/>
      <c r="G15" s="52"/>
      <c r="H15" s="40"/>
      <c r="I15" s="42"/>
      <c r="J15" s="40"/>
      <c r="K15" s="42"/>
      <c r="L15" s="38"/>
      <c r="M15" s="41"/>
      <c r="N15" s="38"/>
      <c r="O15" s="41"/>
      <c r="P15" s="41"/>
    </row>
    <row r="16" spans="1:16" ht="18" customHeight="1">
      <c r="A16" s="29" t="s">
        <v>55</v>
      </c>
      <c r="B16" s="44">
        <f>B12+B14</f>
        <v>243</v>
      </c>
      <c r="C16" s="45">
        <f>C12+C14</f>
        <v>2887.1794</v>
      </c>
      <c r="D16" s="53">
        <f>D12+D14</f>
        <v>1491.1756</v>
      </c>
      <c r="E16" s="54">
        <f>D16/C16*100</f>
        <v>51.64817953466972</v>
      </c>
      <c r="F16" s="55">
        <f>F12+F14</f>
        <v>1959.6832</v>
      </c>
      <c r="G16" s="56">
        <f>F16/C16*100</f>
        <v>67.87535267119182</v>
      </c>
      <c r="H16" s="57">
        <f>H12+H14</f>
        <v>1206.627</v>
      </c>
      <c r="I16" s="54">
        <f>H16/C16*100</f>
        <v>41.79258829569094</v>
      </c>
      <c r="J16" s="55">
        <f>J12+J14</f>
        <v>2724.6947</v>
      </c>
      <c r="K16" s="56">
        <f>J16/C16*100</f>
        <v>94.37219938601667</v>
      </c>
      <c r="L16" s="44">
        <f>L12+L14</f>
        <v>1758</v>
      </c>
      <c r="M16" s="45">
        <f>M12+M14</f>
        <v>35.5768</v>
      </c>
      <c r="N16" s="44">
        <f>N12+N14</f>
        <v>78</v>
      </c>
      <c r="O16" s="45">
        <f>O12+O14</f>
        <v>26.249299999999998</v>
      </c>
      <c r="P16" s="45">
        <f>P12+P14</f>
        <v>677.4259999999999</v>
      </c>
    </row>
    <row r="17" spans="1:16" ht="18" customHeight="1">
      <c r="A17" s="69" t="s">
        <v>61</v>
      </c>
      <c r="B17" s="58"/>
      <c r="C17" s="59"/>
      <c r="D17" s="60"/>
      <c r="E17" s="61"/>
      <c r="F17" s="60"/>
      <c r="G17" s="62"/>
      <c r="H17" s="60"/>
      <c r="I17" s="61"/>
      <c r="J17" s="60"/>
      <c r="K17" s="61"/>
      <c r="L17" s="58"/>
      <c r="M17" s="59"/>
      <c r="N17" s="58"/>
      <c r="O17" s="59"/>
      <c r="P17" s="59"/>
    </row>
    <row r="18" spans="1:16" ht="18" customHeight="1">
      <c r="A18" s="29" t="s">
        <v>55</v>
      </c>
      <c r="B18" s="44">
        <f>B10+B16</f>
        <v>261</v>
      </c>
      <c r="C18" s="45">
        <f>C10+C16</f>
        <v>3963.3833999999997</v>
      </c>
      <c r="D18" s="53">
        <f>D10+D16</f>
        <v>2452.1943</v>
      </c>
      <c r="E18" s="54">
        <f>D18/C18*100</f>
        <v>61.87123607572258</v>
      </c>
      <c r="F18" s="55">
        <f>F10+F16</f>
        <v>2962.4651</v>
      </c>
      <c r="G18" s="56">
        <f>F18/C18*100</f>
        <v>74.74586233570035</v>
      </c>
      <c r="H18" s="57">
        <f>H10+H16</f>
        <v>2127.2110000000002</v>
      </c>
      <c r="I18" s="54">
        <f>H18/C18*100</f>
        <v>53.67159281133388</v>
      </c>
      <c r="J18" s="55">
        <f>J10+J16</f>
        <v>3798.4276</v>
      </c>
      <c r="K18" s="56">
        <f>J18/C18*100</f>
        <v>95.83800547784503</v>
      </c>
      <c r="L18" s="44">
        <f>L10+L16</f>
        <v>3002</v>
      </c>
      <c r="M18" s="45">
        <f>M10+M16</f>
        <v>97.8887</v>
      </c>
      <c r="N18" s="44">
        <f>N10+N16</f>
        <v>217</v>
      </c>
      <c r="O18" s="45">
        <f>O10+O16</f>
        <v>101.3664</v>
      </c>
      <c r="P18" s="45">
        <f>P10+P16</f>
        <v>1381.9317999999998</v>
      </c>
    </row>
    <row r="19" spans="1:16" ht="18" customHeight="1">
      <c r="A19" s="27" t="s">
        <v>57</v>
      </c>
      <c r="B19" s="58"/>
      <c r="C19" s="59"/>
      <c r="D19" s="60"/>
      <c r="E19" s="61"/>
      <c r="F19" s="60"/>
      <c r="G19" s="62"/>
      <c r="H19" s="60"/>
      <c r="I19" s="61"/>
      <c r="J19" s="60"/>
      <c r="K19" s="61"/>
      <c r="L19" s="58"/>
      <c r="M19" s="59"/>
      <c r="N19" s="58"/>
      <c r="O19" s="59"/>
      <c r="P19" s="59"/>
    </row>
    <row r="20" spans="1:16" ht="18" customHeight="1">
      <c r="A20" s="29" t="s">
        <v>55</v>
      </c>
      <c r="B20" s="44">
        <f>B8+B16</f>
        <v>256</v>
      </c>
      <c r="C20" s="45">
        <f aca="true" t="shared" si="0" ref="C20:P20">C8+C16</f>
        <v>3492.4844</v>
      </c>
      <c r="D20" s="53">
        <f t="shared" si="0"/>
        <v>1981.2953</v>
      </c>
      <c r="E20" s="54">
        <f>D20/C20*100</f>
        <v>56.73025482948471</v>
      </c>
      <c r="F20" s="55">
        <f t="shared" si="0"/>
        <v>2491.5661</v>
      </c>
      <c r="G20" s="56">
        <f>F20/C20*100</f>
        <v>71.34079396317419</v>
      </c>
      <c r="H20" s="57">
        <f t="shared" si="0"/>
        <v>1656.312</v>
      </c>
      <c r="I20" s="54">
        <f>H20/C20*100</f>
        <v>47.4250364582874</v>
      </c>
      <c r="J20" s="55">
        <f t="shared" si="0"/>
        <v>3327.5286</v>
      </c>
      <c r="K20" s="56">
        <f>J20/C20*100</f>
        <v>95.27683502322874</v>
      </c>
      <c r="L20" s="44">
        <f t="shared" si="0"/>
        <v>2293</v>
      </c>
      <c r="M20" s="45">
        <f t="shared" si="0"/>
        <v>56.1737</v>
      </c>
      <c r="N20" s="44">
        <f>N8+N16</f>
        <v>164</v>
      </c>
      <c r="O20" s="45">
        <f>O8+O16</f>
        <v>75.1454</v>
      </c>
      <c r="P20" s="45">
        <f t="shared" si="0"/>
        <v>1037.9368</v>
      </c>
    </row>
    <row r="21" spans="1:16" ht="18" customHeight="1">
      <c r="A21" s="91" t="s">
        <v>24</v>
      </c>
      <c r="B21" s="38"/>
      <c r="C21" s="41"/>
      <c r="D21" s="40"/>
      <c r="E21" s="42"/>
      <c r="F21" s="40"/>
      <c r="G21" s="52"/>
      <c r="H21" s="40"/>
      <c r="I21" s="42"/>
      <c r="J21" s="40"/>
      <c r="K21" s="42"/>
      <c r="L21" s="38"/>
      <c r="M21" s="41"/>
      <c r="N21" s="38"/>
      <c r="O21" s="41"/>
      <c r="P21" s="41"/>
    </row>
    <row r="22" spans="1:16" ht="18" customHeight="1">
      <c r="A22" s="91"/>
      <c r="B22" s="44">
        <v>1066</v>
      </c>
      <c r="C22" s="45">
        <f>1559588/1000</f>
        <v>1559.588</v>
      </c>
      <c r="D22" s="53">
        <f>570746/1000</f>
        <v>570.746</v>
      </c>
      <c r="E22" s="54">
        <f>D22/C22*100</f>
        <v>36.5959471347561</v>
      </c>
      <c r="F22" s="55">
        <f>1240956/1000</f>
        <v>1240.956</v>
      </c>
      <c r="G22" s="56">
        <f>F22/C22*100</f>
        <v>79.56947604110829</v>
      </c>
      <c r="H22" s="57">
        <f>302676/1000</f>
        <v>302.676</v>
      </c>
      <c r="I22" s="54">
        <f>H22/C22*100</f>
        <v>19.407433245190393</v>
      </c>
      <c r="J22" s="55">
        <f>1500250/1000</f>
        <v>1500.25</v>
      </c>
      <c r="K22" s="56">
        <f>J22/C22*100</f>
        <v>96.19527721423864</v>
      </c>
      <c r="L22" s="44">
        <v>1153</v>
      </c>
      <c r="M22" s="45">
        <f>20222/1000</f>
        <v>20.222</v>
      </c>
      <c r="N22" s="44">
        <v>21</v>
      </c>
      <c r="O22" s="45">
        <f>4841/1000</f>
        <v>4.841</v>
      </c>
      <c r="P22" s="45">
        <f>285223/1000</f>
        <v>285.223</v>
      </c>
    </row>
    <row r="23" spans="1:16" ht="18" customHeight="1">
      <c r="A23" s="91" t="s">
        <v>25</v>
      </c>
      <c r="B23" s="38"/>
      <c r="C23" s="41"/>
      <c r="D23" s="40"/>
      <c r="E23" s="42"/>
      <c r="F23" s="40"/>
      <c r="G23" s="52"/>
      <c r="H23" s="40"/>
      <c r="I23" s="42"/>
      <c r="J23" s="40"/>
      <c r="K23" s="42"/>
      <c r="L23" s="38"/>
      <c r="M23" s="41"/>
      <c r="N23" s="38"/>
      <c r="O23" s="41"/>
      <c r="P23" s="41"/>
    </row>
    <row r="24" spans="1:16" ht="18" customHeight="1">
      <c r="A24" s="91"/>
      <c r="B24" s="44">
        <v>1395</v>
      </c>
      <c r="C24" s="45">
        <f>1646749/1000</f>
        <v>1646.749</v>
      </c>
      <c r="D24" s="53">
        <f>230629/1000</f>
        <v>230.629</v>
      </c>
      <c r="E24" s="54">
        <f>D24/C24*100</f>
        <v>14.005109461126134</v>
      </c>
      <c r="F24" s="55">
        <f>1057293/1000</f>
        <v>1057.293</v>
      </c>
      <c r="G24" s="56">
        <f>F24/C24*100</f>
        <v>64.20486667974293</v>
      </c>
      <c r="H24" s="57">
        <f>147513/1000</f>
        <v>147.513</v>
      </c>
      <c r="I24" s="54">
        <f>H24/C24*100</f>
        <v>8.957831460653688</v>
      </c>
      <c r="J24" s="55">
        <f>1546556/1000</f>
        <v>1546.556</v>
      </c>
      <c r="K24" s="56">
        <f>J24/C24*100</f>
        <v>93.91570907284596</v>
      </c>
      <c r="L24" s="44">
        <v>1217</v>
      </c>
      <c r="M24" s="45">
        <f>12262/1000</f>
        <v>12.262</v>
      </c>
      <c r="N24" s="44">
        <v>4</v>
      </c>
      <c r="O24" s="45">
        <f>640/1000</f>
        <v>0.64</v>
      </c>
      <c r="P24" s="45">
        <f>69012/1000</f>
        <v>69.012</v>
      </c>
    </row>
    <row r="25" spans="1:16" ht="18" customHeight="1">
      <c r="A25" s="27" t="s">
        <v>58</v>
      </c>
      <c r="B25" s="38"/>
      <c r="C25" s="41"/>
      <c r="D25" s="40"/>
      <c r="E25" s="42"/>
      <c r="F25" s="40"/>
      <c r="G25" s="52"/>
      <c r="H25" s="40"/>
      <c r="I25" s="42"/>
      <c r="J25" s="40"/>
      <c r="K25" s="42"/>
      <c r="L25" s="38"/>
      <c r="M25" s="41"/>
      <c r="N25" s="38"/>
      <c r="O25" s="41"/>
      <c r="P25" s="41"/>
    </row>
    <row r="26" spans="1:16" ht="18" customHeight="1">
      <c r="A26" s="29" t="s">
        <v>59</v>
      </c>
      <c r="B26" s="44">
        <f>B22+B24</f>
        <v>2461</v>
      </c>
      <c r="C26" s="45">
        <f>C22+C24</f>
        <v>3206.337</v>
      </c>
      <c r="D26" s="53">
        <f>D22+D24</f>
        <v>801.375</v>
      </c>
      <c r="E26" s="54">
        <f>D26/C26*100</f>
        <v>24.993473861294056</v>
      </c>
      <c r="F26" s="55">
        <f>F22+F24</f>
        <v>2298.249</v>
      </c>
      <c r="G26" s="56">
        <f>F26/C26*100</f>
        <v>71.67833574574351</v>
      </c>
      <c r="H26" s="57">
        <f>H22+H24</f>
        <v>450.18899999999996</v>
      </c>
      <c r="I26" s="54">
        <f>H26/C26*100</f>
        <v>14.04060147139867</v>
      </c>
      <c r="J26" s="55">
        <f>J22+J24</f>
        <v>3046.806</v>
      </c>
      <c r="K26" s="56">
        <f>J26/C26*100</f>
        <v>95.02450927647344</v>
      </c>
      <c r="L26" s="44">
        <f>L22+L24</f>
        <v>2370</v>
      </c>
      <c r="M26" s="45">
        <f>M22+M24</f>
        <v>32.484</v>
      </c>
      <c r="N26" s="44">
        <f>N22+N24</f>
        <v>25</v>
      </c>
      <c r="O26" s="45">
        <f>O22+O24</f>
        <v>5.481</v>
      </c>
      <c r="P26" s="45">
        <f>P22+P24</f>
        <v>354.235</v>
      </c>
    </row>
    <row r="27" spans="1:16" ht="18" customHeight="1">
      <c r="A27" s="90" t="s">
        <v>63</v>
      </c>
      <c r="B27" s="38"/>
      <c r="C27" s="41"/>
      <c r="D27" s="40"/>
      <c r="E27" s="42"/>
      <c r="F27" s="40"/>
      <c r="G27" s="52"/>
      <c r="H27" s="40"/>
      <c r="I27" s="42"/>
      <c r="J27" s="40"/>
      <c r="K27" s="42"/>
      <c r="L27" s="38"/>
      <c r="M27" s="41"/>
      <c r="N27" s="38"/>
      <c r="O27" s="41"/>
      <c r="P27" s="41"/>
    </row>
    <row r="28" spans="1:16" ht="18" customHeight="1">
      <c r="A28" s="90"/>
      <c r="B28" s="44">
        <v>26428</v>
      </c>
      <c r="C28" s="45">
        <f>10917673/1000</f>
        <v>10917.673</v>
      </c>
      <c r="D28" s="53">
        <f>749908/1000</f>
        <v>749.908</v>
      </c>
      <c r="E28" s="54">
        <f>D28/C28*100</f>
        <v>6.868753075861495</v>
      </c>
      <c r="F28" s="55">
        <f>4815284/1000</f>
        <v>4815.284</v>
      </c>
      <c r="G28" s="56">
        <f>F28/C28*100</f>
        <v>44.10540597799549</v>
      </c>
      <c r="H28" s="57">
        <f>1366118/1000</f>
        <v>1366.118</v>
      </c>
      <c r="I28" s="54">
        <f>H28/C28*100</f>
        <v>12.512904535609373</v>
      </c>
      <c r="J28" s="55">
        <f>8936569/1000</f>
        <v>8936.569</v>
      </c>
      <c r="K28" s="56">
        <f>J28/C28*100</f>
        <v>81.85415518490066</v>
      </c>
      <c r="L28" s="44">
        <v>6820</v>
      </c>
      <c r="M28" s="45">
        <f>60638/1000</f>
        <v>60.638</v>
      </c>
      <c r="N28" s="44">
        <v>34</v>
      </c>
      <c r="O28" s="45">
        <f>6436/1000</f>
        <v>6.436</v>
      </c>
      <c r="P28" s="45">
        <f>196950/1000</f>
        <v>196.95</v>
      </c>
    </row>
    <row r="29" spans="1:16" ht="18" customHeight="1">
      <c r="A29" s="27" t="s">
        <v>60</v>
      </c>
      <c r="B29" s="38"/>
      <c r="C29" s="41"/>
      <c r="D29" s="40"/>
      <c r="E29" s="42"/>
      <c r="F29" s="40"/>
      <c r="G29" s="52"/>
      <c r="H29" s="40"/>
      <c r="I29" s="42"/>
      <c r="J29" s="40"/>
      <c r="K29" s="42"/>
      <c r="L29" s="38"/>
      <c r="M29" s="41"/>
      <c r="N29" s="38"/>
      <c r="O29" s="41"/>
      <c r="P29" s="41"/>
    </row>
    <row r="30" spans="1:16" ht="18" customHeight="1">
      <c r="A30" s="29" t="s">
        <v>55</v>
      </c>
      <c r="B30" s="71">
        <f>B26+B28</f>
        <v>28889</v>
      </c>
      <c r="C30" s="72">
        <f>C26+C28</f>
        <v>14124.01</v>
      </c>
      <c r="D30" s="53">
        <f>D26+D28</f>
        <v>1551.283</v>
      </c>
      <c r="E30" s="54">
        <f>D30/C30*100</f>
        <v>10.983304316550328</v>
      </c>
      <c r="F30" s="55">
        <f>F26+F28</f>
        <v>7113.532999999999</v>
      </c>
      <c r="G30" s="56">
        <f>F30/C30*100</f>
        <v>50.36482557007535</v>
      </c>
      <c r="H30" s="57">
        <f>H26+H28</f>
        <v>1816.3069999999998</v>
      </c>
      <c r="I30" s="54">
        <f>H30/C30*100</f>
        <v>12.859711937332245</v>
      </c>
      <c r="J30" s="55">
        <f>J26+J28</f>
        <v>11983.375</v>
      </c>
      <c r="K30" s="56">
        <f>J30/C30*100</f>
        <v>84.84399968564168</v>
      </c>
      <c r="L30" s="44">
        <f>L26+L28</f>
        <v>9190</v>
      </c>
      <c r="M30" s="45">
        <f>M26+M28</f>
        <v>93.122</v>
      </c>
      <c r="N30" s="44">
        <f>N26+N28</f>
        <v>59</v>
      </c>
      <c r="O30" s="45">
        <f>O26+O28</f>
        <v>11.917</v>
      </c>
      <c r="P30" s="45">
        <f>P26+P28</f>
        <v>551.185</v>
      </c>
    </row>
    <row r="31" spans="1:16" ht="18" customHeight="1">
      <c r="A31" s="91" t="s">
        <v>28</v>
      </c>
      <c r="B31" s="38"/>
      <c r="C31" s="41"/>
      <c r="D31" s="40"/>
      <c r="E31" s="42"/>
      <c r="F31" s="40"/>
      <c r="G31" s="52"/>
      <c r="H31" s="40"/>
      <c r="I31" s="42"/>
      <c r="J31" s="40"/>
      <c r="K31" s="42"/>
      <c r="L31" s="38"/>
      <c r="M31" s="41"/>
      <c r="N31" s="38"/>
      <c r="O31" s="41"/>
      <c r="P31" s="41"/>
    </row>
    <row r="32" spans="1:16" ht="18" customHeight="1">
      <c r="A32" s="91"/>
      <c r="B32" s="44">
        <f>B18+B30</f>
        <v>29150</v>
      </c>
      <c r="C32" s="45">
        <f>C18+C30</f>
        <v>18087.3934</v>
      </c>
      <c r="D32" s="53">
        <f>D18+D30</f>
        <v>4003.4773</v>
      </c>
      <c r="E32" s="54">
        <f>D32/C32*100</f>
        <v>22.134075438421107</v>
      </c>
      <c r="F32" s="55">
        <f>F18+F30</f>
        <v>10075.998099999999</v>
      </c>
      <c r="G32" s="56">
        <f>F32/C32*100</f>
        <v>55.707297769063835</v>
      </c>
      <c r="H32" s="57">
        <f>H18+H30</f>
        <v>3943.518</v>
      </c>
      <c r="I32" s="54">
        <f>H32/C32*100</f>
        <v>21.802577700333536</v>
      </c>
      <c r="J32" s="55">
        <f>J18+J30</f>
        <v>15781.802599999999</v>
      </c>
      <c r="K32" s="56">
        <f>J32/C32*100</f>
        <v>87.25305106704872</v>
      </c>
      <c r="L32" s="44">
        <f>L18+L30</f>
        <v>12192</v>
      </c>
      <c r="M32" s="45">
        <f>M18+M30</f>
        <v>191.01069999999999</v>
      </c>
      <c r="N32" s="44">
        <f>N18+N30</f>
        <v>276</v>
      </c>
      <c r="O32" s="45">
        <f>O18+O30</f>
        <v>113.2834</v>
      </c>
      <c r="P32" s="45">
        <f>P18+P30</f>
        <v>1933.1167999999998</v>
      </c>
    </row>
    <row r="33" spans="1:16" ht="14.25" customHeight="1">
      <c r="A33" s="31" t="s">
        <v>31</v>
      </c>
      <c r="B33" s="33"/>
      <c r="C33" s="39"/>
      <c r="D33" s="39"/>
      <c r="E33" s="34"/>
      <c r="F33" s="39"/>
      <c r="G33" s="34"/>
      <c r="H33" s="39"/>
      <c r="I33" s="34"/>
      <c r="J33" s="39"/>
      <c r="K33" s="34"/>
      <c r="L33" s="35"/>
      <c r="M33" s="37"/>
      <c r="N33" s="35"/>
      <c r="O33" s="37"/>
      <c r="P33" s="37"/>
    </row>
    <row r="34" ht="13.5">
      <c r="A34" s="31" t="s">
        <v>32</v>
      </c>
    </row>
    <row r="35" ht="13.5">
      <c r="A35" s="31" t="s">
        <v>33</v>
      </c>
    </row>
    <row r="36" ht="13.5">
      <c r="A36" s="31" t="s">
        <v>48</v>
      </c>
    </row>
    <row r="37" ht="13.5">
      <c r="A37" s="31" t="s">
        <v>49</v>
      </c>
    </row>
    <row r="38" ht="13.5">
      <c r="A38" s="31" t="s">
        <v>50</v>
      </c>
    </row>
  </sheetData>
  <sheetProtection/>
  <mergeCells count="24"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  <mergeCell ref="N3:N4"/>
    <mergeCell ref="O3:O4"/>
    <mergeCell ref="D4:E4"/>
    <mergeCell ref="H4:I4"/>
    <mergeCell ref="H3:I3"/>
    <mergeCell ref="J3:K4"/>
    <mergeCell ref="L3:L4"/>
    <mergeCell ref="M3:M4"/>
    <mergeCell ref="A13:A14"/>
    <mergeCell ref="A11:A12"/>
    <mergeCell ref="A31:A32"/>
    <mergeCell ref="A21:A22"/>
    <mergeCell ref="A23:A24"/>
    <mergeCell ref="A27:A2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C5" sqref="C5:C6"/>
    </sheetView>
  </sheetViews>
  <sheetFormatPr defaultColWidth="8.875" defaultRowHeight="13.5"/>
  <cols>
    <col min="1" max="1" width="14.25390625" style="1" customWidth="1"/>
    <col min="2" max="2" width="8.875" style="1" customWidth="1"/>
    <col min="3" max="3" width="9.875" style="1" customWidth="1"/>
    <col min="4" max="4" width="14.75390625" style="1" customWidth="1"/>
    <col min="5" max="5" width="13.125" style="1" customWidth="1"/>
    <col min="6" max="6" width="10.75390625" style="1" customWidth="1"/>
    <col min="7" max="7" width="7.75390625" style="1" customWidth="1"/>
    <col min="8" max="8" width="14.75390625" style="1" customWidth="1"/>
    <col min="9" max="9" width="13.125" style="1" customWidth="1"/>
    <col min="10" max="10" width="10.75390625" style="1" customWidth="1"/>
    <col min="11" max="11" width="7.75390625" style="1" customWidth="1"/>
    <col min="12" max="12" width="8.875" style="1" customWidth="1"/>
    <col min="13" max="13" width="7.75390625" style="1" bestFit="1" customWidth="1"/>
    <col min="14" max="14" width="8.875" style="1" customWidth="1"/>
    <col min="15" max="15" width="9.00390625" style="1" bestFit="1" customWidth="1"/>
    <col min="16" max="16" width="9.625" style="1" bestFit="1" customWidth="1"/>
    <col min="17" max="16384" width="8.875" style="1" customWidth="1"/>
  </cols>
  <sheetData>
    <row r="1" spans="1:16" ht="36" customHeight="1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5.5" customHeight="1">
      <c r="A2" s="76" t="s">
        <v>0</v>
      </c>
      <c r="B2" s="76" t="s">
        <v>1</v>
      </c>
      <c r="C2" s="76" t="s">
        <v>2</v>
      </c>
      <c r="D2" s="80" t="s">
        <v>3</v>
      </c>
      <c r="E2" s="80"/>
      <c r="F2" s="80"/>
      <c r="G2" s="80"/>
      <c r="H2" s="80" t="s">
        <v>4</v>
      </c>
      <c r="I2" s="80"/>
      <c r="J2" s="80"/>
      <c r="K2" s="80"/>
      <c r="L2" s="76" t="s">
        <v>5</v>
      </c>
      <c r="M2" s="76"/>
      <c r="N2" s="76" t="s">
        <v>6</v>
      </c>
      <c r="O2" s="76"/>
      <c r="P2" s="27" t="s">
        <v>7</v>
      </c>
    </row>
    <row r="3" spans="1:16" ht="13.5">
      <c r="A3" s="76"/>
      <c r="B3" s="76"/>
      <c r="C3" s="76"/>
      <c r="D3" s="81"/>
      <c r="E3" s="82"/>
      <c r="F3" s="82" t="s">
        <v>8</v>
      </c>
      <c r="G3" s="83"/>
      <c r="H3" s="86"/>
      <c r="I3" s="87"/>
      <c r="J3" s="82" t="s">
        <v>9</v>
      </c>
      <c r="K3" s="83"/>
      <c r="L3" s="88" t="s">
        <v>10</v>
      </c>
      <c r="M3" s="76" t="s">
        <v>11</v>
      </c>
      <c r="N3" s="76" t="s">
        <v>10</v>
      </c>
      <c r="O3" s="76" t="s">
        <v>11</v>
      </c>
      <c r="P3" s="28" t="s">
        <v>12</v>
      </c>
    </row>
    <row r="4" spans="1:16" ht="13.5">
      <c r="A4" s="76"/>
      <c r="B4" s="76"/>
      <c r="C4" s="76"/>
      <c r="D4" s="86" t="s">
        <v>13</v>
      </c>
      <c r="E4" s="94"/>
      <c r="F4" s="92"/>
      <c r="G4" s="93"/>
      <c r="H4" s="86" t="s">
        <v>14</v>
      </c>
      <c r="I4" s="94"/>
      <c r="J4" s="92"/>
      <c r="K4" s="93"/>
      <c r="L4" s="88"/>
      <c r="M4" s="76"/>
      <c r="N4" s="76"/>
      <c r="O4" s="76"/>
      <c r="P4" s="29" t="s">
        <v>15</v>
      </c>
    </row>
    <row r="5" spans="1:16" ht="18" customHeight="1">
      <c r="A5" s="95" t="s">
        <v>16</v>
      </c>
      <c r="B5" s="97">
        <v>6</v>
      </c>
      <c r="C5" s="98">
        <f>470118/1000</f>
        <v>470.118</v>
      </c>
      <c r="D5" s="81"/>
      <c r="E5" s="82"/>
      <c r="F5" s="82"/>
      <c r="G5" s="83"/>
      <c r="H5" s="81"/>
      <c r="I5" s="82"/>
      <c r="J5" s="82"/>
      <c r="K5" s="83"/>
      <c r="L5" s="99">
        <v>696</v>
      </c>
      <c r="M5" s="100">
        <f>44720/1000</f>
        <v>44.72</v>
      </c>
      <c r="N5" s="99">
        <v>51</v>
      </c>
      <c r="O5" s="100">
        <f>26253/1000</f>
        <v>26.253</v>
      </c>
      <c r="P5" s="100">
        <f>343995/1000</f>
        <v>343.995</v>
      </c>
    </row>
    <row r="6" spans="1:16" ht="18" customHeight="1">
      <c r="A6" s="96"/>
      <c r="B6" s="97"/>
      <c r="C6" s="98"/>
      <c r="D6" s="15">
        <f>470118/1000</f>
        <v>470.118</v>
      </c>
      <c r="E6" s="16">
        <f>D6/C5*100</f>
        <v>100</v>
      </c>
      <c r="F6" s="17">
        <f>470118/1000</f>
        <v>470.118</v>
      </c>
      <c r="G6" s="18">
        <f>F6/C5*100</f>
        <v>100</v>
      </c>
      <c r="H6" s="15">
        <f>470118/1000</f>
        <v>470.118</v>
      </c>
      <c r="I6" s="16">
        <f>H6/C5*100</f>
        <v>100</v>
      </c>
      <c r="J6" s="17">
        <f>470118/1000</f>
        <v>470.118</v>
      </c>
      <c r="K6" s="18">
        <f>J6/C5*100</f>
        <v>100</v>
      </c>
      <c r="L6" s="99"/>
      <c r="M6" s="100"/>
      <c r="N6" s="99"/>
      <c r="O6" s="100"/>
      <c r="P6" s="100"/>
    </row>
    <row r="7" spans="1:16" ht="18" customHeight="1">
      <c r="A7" s="76" t="s">
        <v>17</v>
      </c>
      <c r="B7" s="97">
        <v>13</v>
      </c>
      <c r="C7" s="98">
        <f>614097.3/1000</f>
        <v>614.0973</v>
      </c>
      <c r="D7" s="81"/>
      <c r="E7" s="82"/>
      <c r="F7" s="12"/>
      <c r="G7" s="13"/>
      <c r="H7" s="81"/>
      <c r="I7" s="82"/>
      <c r="J7" s="12"/>
      <c r="K7" s="13"/>
      <c r="L7" s="99">
        <v>540</v>
      </c>
      <c r="M7" s="100">
        <f>20688.2/1000</f>
        <v>20.688200000000002</v>
      </c>
      <c r="N7" s="99">
        <v>86</v>
      </c>
      <c r="O7" s="100">
        <f>48896.1/1000</f>
        <v>48.8961</v>
      </c>
      <c r="P7" s="100">
        <f>359568.2/1000</f>
        <v>359.5682</v>
      </c>
    </row>
    <row r="8" spans="1:16" ht="18" customHeight="1">
      <c r="A8" s="76"/>
      <c r="B8" s="97"/>
      <c r="C8" s="98"/>
      <c r="D8" s="15">
        <f>491075.6/1000</f>
        <v>491.07559999999995</v>
      </c>
      <c r="E8" s="16">
        <f>D8/C7*100</f>
        <v>79.96706710809508</v>
      </c>
      <c r="F8" s="17">
        <f>535427.1/1000</f>
        <v>535.4271</v>
      </c>
      <c r="G8" s="18">
        <f>F8/C7*100</f>
        <v>87.18929394413556</v>
      </c>
      <c r="H8" s="15">
        <f>450088.2/1000</f>
        <v>450.08820000000003</v>
      </c>
      <c r="I8" s="16">
        <f>H8/C7*100</f>
        <v>73.29265248357223</v>
      </c>
      <c r="J8" s="17">
        <f>611626.2/1000</f>
        <v>611.6261999999999</v>
      </c>
      <c r="K8" s="18">
        <f>J8/C7*100</f>
        <v>99.5976044838497</v>
      </c>
      <c r="L8" s="99"/>
      <c r="M8" s="100"/>
      <c r="N8" s="99"/>
      <c r="O8" s="100"/>
      <c r="P8" s="100"/>
    </row>
    <row r="9" spans="1:16" ht="18" customHeight="1">
      <c r="A9" s="76" t="s">
        <v>18</v>
      </c>
      <c r="B9" s="101">
        <f>SUM(B5,B7)-1</f>
        <v>18</v>
      </c>
      <c r="C9" s="98">
        <f>SUM(C5:C8)</f>
        <v>1084.2153</v>
      </c>
      <c r="D9" s="81"/>
      <c r="E9" s="82"/>
      <c r="F9" s="12"/>
      <c r="G9" s="13"/>
      <c r="H9" s="81"/>
      <c r="I9" s="82"/>
      <c r="J9" s="12"/>
      <c r="K9" s="13"/>
      <c r="L9" s="99">
        <f>L5+L7</f>
        <v>1236</v>
      </c>
      <c r="M9" s="100">
        <f>M5+M7</f>
        <v>65.4082</v>
      </c>
      <c r="N9" s="99">
        <f>N5+N7</f>
        <v>137</v>
      </c>
      <c r="O9" s="100">
        <f>O5+O7</f>
        <v>75.1491</v>
      </c>
      <c r="P9" s="100">
        <f>P5+P7</f>
        <v>703.5632</v>
      </c>
    </row>
    <row r="10" spans="1:16" ht="18" customHeight="1">
      <c r="A10" s="76"/>
      <c r="B10" s="101"/>
      <c r="C10" s="98"/>
      <c r="D10" s="15">
        <f>D6+D8</f>
        <v>961.1936</v>
      </c>
      <c r="E10" s="16">
        <f>D10/C9*100</f>
        <v>88.65338830765438</v>
      </c>
      <c r="F10" s="17">
        <f>F6+F8</f>
        <v>1005.5451</v>
      </c>
      <c r="G10" s="18">
        <f>F10/C9*100</f>
        <v>92.74404262695795</v>
      </c>
      <c r="H10" s="15">
        <f>H6+H8</f>
        <v>920.2062000000001</v>
      </c>
      <c r="I10" s="16">
        <f>H10/C9*100</f>
        <v>84.87301369017759</v>
      </c>
      <c r="J10" s="17">
        <f>J6+J8</f>
        <v>1081.7441999999999</v>
      </c>
      <c r="K10" s="18">
        <f>J10/C9*100</f>
        <v>99.77208401320289</v>
      </c>
      <c r="L10" s="99"/>
      <c r="M10" s="100"/>
      <c r="N10" s="99"/>
      <c r="O10" s="100"/>
      <c r="P10" s="100"/>
    </row>
    <row r="11" spans="1:16" ht="18" customHeight="1">
      <c r="A11" s="76" t="s">
        <v>19</v>
      </c>
      <c r="B11" s="101">
        <v>54</v>
      </c>
      <c r="C11" s="98">
        <f>1093532.2/1000</f>
        <v>1093.5321999999999</v>
      </c>
      <c r="D11" s="81"/>
      <c r="E11" s="82"/>
      <c r="F11" s="12"/>
      <c r="G11" s="13"/>
      <c r="H11" s="81"/>
      <c r="I11" s="82"/>
      <c r="J11" s="12"/>
      <c r="K11" s="13"/>
      <c r="L11" s="99">
        <v>747</v>
      </c>
      <c r="M11" s="100">
        <f>19022.8/1000</f>
        <v>19.0228</v>
      </c>
      <c r="N11" s="99">
        <v>56</v>
      </c>
      <c r="O11" s="100">
        <f>21199.6/1000</f>
        <v>21.1996</v>
      </c>
      <c r="P11" s="100">
        <f>376713.5/1000</f>
        <v>376.7135</v>
      </c>
    </row>
    <row r="12" spans="1:16" ht="18" customHeight="1">
      <c r="A12" s="76"/>
      <c r="B12" s="101"/>
      <c r="C12" s="98"/>
      <c r="D12" s="15">
        <f>748219.6/1000</f>
        <v>748.2196</v>
      </c>
      <c r="E12" s="16">
        <f>D12/C11*100</f>
        <v>68.42227416805834</v>
      </c>
      <c r="F12" s="17">
        <f>879205.3/1000</f>
        <v>879.2053000000001</v>
      </c>
      <c r="G12" s="18">
        <f>F12/C11*100</f>
        <v>80.4004948368233</v>
      </c>
      <c r="H12" s="15">
        <f>625809.1/1000</f>
        <v>625.8091</v>
      </c>
      <c r="I12" s="16">
        <f>H12/C11*100</f>
        <v>57.22822793878406</v>
      </c>
      <c r="J12" s="17">
        <f>1065698.3/1000</f>
        <v>1065.6983</v>
      </c>
      <c r="K12" s="18">
        <f>J12/C11*100</f>
        <v>97.4546794323935</v>
      </c>
      <c r="L12" s="99"/>
      <c r="M12" s="100"/>
      <c r="N12" s="99"/>
      <c r="O12" s="100"/>
      <c r="P12" s="100"/>
    </row>
    <row r="13" spans="1:16" ht="18" customHeight="1">
      <c r="A13" s="76" t="s">
        <v>20</v>
      </c>
      <c r="B13" s="101">
        <v>189</v>
      </c>
      <c r="C13" s="98">
        <f>1790806.9/1000</f>
        <v>1790.8068999999998</v>
      </c>
      <c r="D13" s="81"/>
      <c r="E13" s="82"/>
      <c r="F13" s="19"/>
      <c r="G13" s="13"/>
      <c r="H13" s="81"/>
      <c r="I13" s="82"/>
      <c r="J13" s="19"/>
      <c r="K13" s="13"/>
      <c r="L13" s="99">
        <v>1012</v>
      </c>
      <c r="M13" s="100">
        <f>16404.7/1000</f>
        <v>16.404700000000002</v>
      </c>
      <c r="N13" s="99">
        <v>22</v>
      </c>
      <c r="O13" s="100">
        <f>5049.7/1000</f>
        <v>5.0497</v>
      </c>
      <c r="P13" s="100">
        <f>292706.7/1000</f>
        <v>292.7067</v>
      </c>
    </row>
    <row r="14" spans="1:16" ht="18" customHeight="1">
      <c r="A14" s="76"/>
      <c r="B14" s="101"/>
      <c r="C14" s="98"/>
      <c r="D14" s="15">
        <f>732598.6/1000</f>
        <v>732.5986</v>
      </c>
      <c r="E14" s="16">
        <f>D14/C13*100</f>
        <v>40.908855108833905</v>
      </c>
      <c r="F14" s="17">
        <f>1074039.6/1000</f>
        <v>1074.0396</v>
      </c>
      <c r="G14" s="18">
        <f>F14/C13*100</f>
        <v>59.9751765530946</v>
      </c>
      <c r="H14" s="15">
        <f>571296.9/1000</f>
        <v>571.2969</v>
      </c>
      <c r="I14" s="16">
        <f>H14/C13*100</f>
        <v>31.90164724069357</v>
      </c>
      <c r="J14" s="17">
        <f>1655085.2/1000</f>
        <v>1655.0852</v>
      </c>
      <c r="K14" s="18">
        <f>J14/C13*100</f>
        <v>92.42119851112926</v>
      </c>
      <c r="L14" s="99"/>
      <c r="M14" s="100"/>
      <c r="N14" s="99"/>
      <c r="O14" s="100"/>
      <c r="P14" s="100"/>
    </row>
    <row r="15" spans="1:16" ht="18" customHeight="1">
      <c r="A15" s="76" t="s">
        <v>21</v>
      </c>
      <c r="B15" s="101">
        <f>SUM(B11:B14)</f>
        <v>243</v>
      </c>
      <c r="C15" s="98">
        <f>SUM(C11:C14)</f>
        <v>2884.3390999999997</v>
      </c>
      <c r="D15" s="81"/>
      <c r="E15" s="82"/>
      <c r="F15" s="12"/>
      <c r="G15" s="13"/>
      <c r="H15" s="81"/>
      <c r="I15" s="82"/>
      <c r="J15" s="12"/>
      <c r="K15" s="13"/>
      <c r="L15" s="99">
        <f>SUM(L11:L14)</f>
        <v>1759</v>
      </c>
      <c r="M15" s="100">
        <f>SUM(M11:M14)</f>
        <v>35.4275</v>
      </c>
      <c r="N15" s="99">
        <f>SUM(N11:N14)</f>
        <v>78</v>
      </c>
      <c r="O15" s="100">
        <f>SUM(O11:O14)</f>
        <v>26.249299999999998</v>
      </c>
      <c r="P15" s="100">
        <f>SUM(P11:P14)</f>
        <v>669.4202</v>
      </c>
    </row>
    <row r="16" spans="1:16" ht="18" customHeight="1">
      <c r="A16" s="76"/>
      <c r="B16" s="101"/>
      <c r="C16" s="98"/>
      <c r="D16" s="15">
        <f>D12+D14</f>
        <v>1480.8182000000002</v>
      </c>
      <c r="E16" s="16">
        <f>D16/C15*100</f>
        <v>51.33994820511917</v>
      </c>
      <c r="F16" s="17">
        <f>F12+F14</f>
        <v>1953.2449000000001</v>
      </c>
      <c r="G16" s="18">
        <f>F16/C15*100</f>
        <v>67.7189758998864</v>
      </c>
      <c r="H16" s="15">
        <f>H12+H14</f>
        <v>1197.106</v>
      </c>
      <c r="I16" s="16">
        <f>H16/C15*100</f>
        <v>41.503649830909275</v>
      </c>
      <c r="J16" s="30">
        <f>J12+J14</f>
        <v>2720.7835</v>
      </c>
      <c r="K16" s="18">
        <f>J16/C15*100</f>
        <v>94.32952942322213</v>
      </c>
      <c r="L16" s="99"/>
      <c r="M16" s="100"/>
      <c r="N16" s="99"/>
      <c r="O16" s="100"/>
      <c r="P16" s="100"/>
    </row>
    <row r="17" spans="1:16" s="14" customFormat="1" ht="18" customHeight="1">
      <c r="A17" s="76" t="s">
        <v>22</v>
      </c>
      <c r="B17" s="102">
        <f>B9+B15</f>
        <v>261</v>
      </c>
      <c r="C17" s="98">
        <f>C9+C15</f>
        <v>3968.5544</v>
      </c>
      <c r="D17" s="81"/>
      <c r="E17" s="82"/>
      <c r="F17" s="12"/>
      <c r="G17" s="13"/>
      <c r="H17" s="81"/>
      <c r="I17" s="82"/>
      <c r="J17" s="12"/>
      <c r="K17" s="13"/>
      <c r="L17" s="99">
        <f>L9+L15</f>
        <v>2995</v>
      </c>
      <c r="M17" s="100">
        <f>M9+M15</f>
        <v>100.8357</v>
      </c>
      <c r="N17" s="99">
        <f>N9+N15</f>
        <v>215</v>
      </c>
      <c r="O17" s="100">
        <f>O9+O15</f>
        <v>101.39840000000001</v>
      </c>
      <c r="P17" s="100">
        <f>P9+P15</f>
        <v>1372.9834</v>
      </c>
    </row>
    <row r="18" spans="1:16" s="14" customFormat="1" ht="18" customHeight="1">
      <c r="A18" s="76"/>
      <c r="B18" s="103"/>
      <c r="C18" s="98"/>
      <c r="D18" s="15">
        <f>D10+D16</f>
        <v>2442.0118</v>
      </c>
      <c r="E18" s="16">
        <f>D18/C17*100</f>
        <v>61.5340386917715</v>
      </c>
      <c r="F18" s="17">
        <f>F10+F16</f>
        <v>2958.79</v>
      </c>
      <c r="G18" s="18">
        <f>F18/C17*100</f>
        <v>74.5558634650441</v>
      </c>
      <c r="H18" s="15">
        <f>H10+H16</f>
        <v>2117.3122000000003</v>
      </c>
      <c r="I18" s="16">
        <f>H18/C17*100</f>
        <v>53.352228206825146</v>
      </c>
      <c r="J18" s="17">
        <f>J10+J16</f>
        <v>3802.5276999999996</v>
      </c>
      <c r="K18" s="18">
        <f>J18/C17*100</f>
        <v>95.81644389201266</v>
      </c>
      <c r="L18" s="99"/>
      <c r="M18" s="100"/>
      <c r="N18" s="99"/>
      <c r="O18" s="100"/>
      <c r="P18" s="100"/>
    </row>
    <row r="19" spans="1:16" s="14" customFormat="1" ht="18" customHeight="1">
      <c r="A19" s="76" t="s">
        <v>23</v>
      </c>
      <c r="B19" s="102">
        <f>B7+B15</f>
        <v>256</v>
      </c>
      <c r="C19" s="98">
        <f>C7+C15</f>
        <v>3498.4363999999996</v>
      </c>
      <c r="D19" s="81"/>
      <c r="E19" s="82"/>
      <c r="F19" s="12"/>
      <c r="G19" s="13"/>
      <c r="H19" s="81"/>
      <c r="I19" s="82"/>
      <c r="J19" s="12"/>
      <c r="K19" s="13"/>
      <c r="L19" s="99">
        <f>L7+L15</f>
        <v>2299</v>
      </c>
      <c r="M19" s="100">
        <f>M7+M15</f>
        <v>56.115700000000004</v>
      </c>
      <c r="N19" s="99">
        <f>N7+N15</f>
        <v>164</v>
      </c>
      <c r="O19" s="100">
        <f>O7+O15</f>
        <v>75.1454</v>
      </c>
      <c r="P19" s="100">
        <f>P7+P15</f>
        <v>1028.9884</v>
      </c>
    </row>
    <row r="20" spans="1:16" s="14" customFormat="1" ht="18" customHeight="1">
      <c r="A20" s="76"/>
      <c r="B20" s="104"/>
      <c r="C20" s="98"/>
      <c r="D20" s="15">
        <f>D8+D16</f>
        <v>1971.8938</v>
      </c>
      <c r="E20" s="16">
        <f>D20/C19*100</f>
        <v>56.36500351985819</v>
      </c>
      <c r="F20" s="17">
        <f>F8+F16</f>
        <v>2488.672</v>
      </c>
      <c r="G20" s="18">
        <f>F20/C19*100</f>
        <v>71.1366940956823</v>
      </c>
      <c r="H20" s="15">
        <f>H8+H16</f>
        <v>1647.1942</v>
      </c>
      <c r="I20" s="16">
        <f>H20/C19*100</f>
        <v>47.08372574673646</v>
      </c>
      <c r="J20" s="17">
        <f>J8+J16</f>
        <v>3332.4097</v>
      </c>
      <c r="K20" s="18">
        <f>J20/C19*100</f>
        <v>95.2542598744971</v>
      </c>
      <c r="L20" s="99"/>
      <c r="M20" s="100"/>
      <c r="N20" s="99"/>
      <c r="O20" s="100"/>
      <c r="P20" s="100"/>
    </row>
    <row r="21" spans="1:16" s="14" customFormat="1" ht="18" customHeight="1">
      <c r="A21" s="76" t="s">
        <v>24</v>
      </c>
      <c r="B21" s="102">
        <v>1067</v>
      </c>
      <c r="C21" s="105">
        <f>1558779/1000</f>
        <v>1558.779</v>
      </c>
      <c r="D21" s="81"/>
      <c r="E21" s="82"/>
      <c r="F21" s="12"/>
      <c r="G21" s="13"/>
      <c r="H21" s="81"/>
      <c r="I21" s="82"/>
      <c r="J21" s="12"/>
      <c r="K21" s="13"/>
      <c r="L21" s="99">
        <v>1142</v>
      </c>
      <c r="M21" s="100">
        <f>19563/1000</f>
        <v>19.563</v>
      </c>
      <c r="N21" s="99">
        <v>21</v>
      </c>
      <c r="O21" s="100">
        <f>4841/1000</f>
        <v>4.841</v>
      </c>
      <c r="P21" s="100">
        <f>284671/1000</f>
        <v>284.671</v>
      </c>
    </row>
    <row r="22" spans="1:16" s="14" customFormat="1" ht="18" customHeight="1">
      <c r="A22" s="76"/>
      <c r="B22" s="103"/>
      <c r="C22" s="106"/>
      <c r="D22" s="15">
        <f>566658/1000</f>
        <v>566.658</v>
      </c>
      <c r="E22" s="16">
        <f>D22/C21*100</f>
        <v>36.352683735154244</v>
      </c>
      <c r="F22" s="17">
        <f>1236996/1000</f>
        <v>1236.996</v>
      </c>
      <c r="G22" s="18">
        <f>F22/C21*100</f>
        <v>79.35672728462471</v>
      </c>
      <c r="H22" s="15">
        <f>303752/1000</f>
        <v>303.752</v>
      </c>
      <c r="I22" s="16">
        <f>H22/C21*100</f>
        <v>19.48653401155648</v>
      </c>
      <c r="J22" s="17">
        <f>1499831/1000</f>
        <v>1499.831</v>
      </c>
      <c r="K22" s="18">
        <f>J22/C21*100</f>
        <v>96.21832216112739</v>
      </c>
      <c r="L22" s="99"/>
      <c r="M22" s="100"/>
      <c r="N22" s="99"/>
      <c r="O22" s="100"/>
      <c r="P22" s="100"/>
    </row>
    <row r="23" spans="1:16" s="14" customFormat="1" ht="18" customHeight="1">
      <c r="A23" s="76" t="s">
        <v>25</v>
      </c>
      <c r="B23" s="102">
        <v>1394</v>
      </c>
      <c r="C23" s="105">
        <f>1647099/1000</f>
        <v>1647.099</v>
      </c>
      <c r="D23" s="107"/>
      <c r="E23" s="108"/>
      <c r="F23" s="12"/>
      <c r="G23" s="13"/>
      <c r="H23" s="107"/>
      <c r="I23" s="108"/>
      <c r="J23" s="12"/>
      <c r="K23" s="13"/>
      <c r="L23" s="99">
        <v>1219</v>
      </c>
      <c r="M23" s="100">
        <f>12252/1000</f>
        <v>12.252</v>
      </c>
      <c r="N23" s="99">
        <v>4</v>
      </c>
      <c r="O23" s="100">
        <f>640/1000</f>
        <v>0.64</v>
      </c>
      <c r="P23" s="100">
        <f>68781/1000</f>
        <v>68.781</v>
      </c>
    </row>
    <row r="24" spans="1:16" s="14" customFormat="1" ht="18" customHeight="1">
      <c r="A24" s="76"/>
      <c r="B24" s="103"/>
      <c r="C24" s="106"/>
      <c r="D24" s="15">
        <f>228412/1000</f>
        <v>228.412</v>
      </c>
      <c r="E24" s="16">
        <f>D24/C23*100</f>
        <v>13.867533159816139</v>
      </c>
      <c r="F24" s="17">
        <f>1052008/1000</f>
        <v>1052.008</v>
      </c>
      <c r="G24" s="18">
        <f>F24/C23*100</f>
        <v>63.87035630523727</v>
      </c>
      <c r="H24" s="15">
        <f>143951/1000</f>
        <v>143.951</v>
      </c>
      <c r="I24" s="16">
        <f>H24/C23*100</f>
        <v>8.73966895736079</v>
      </c>
      <c r="J24" s="17">
        <f>1540541/1000</f>
        <v>1540.541</v>
      </c>
      <c r="K24" s="18">
        <f>J24/C23*100</f>
        <v>93.5305649508621</v>
      </c>
      <c r="L24" s="99"/>
      <c r="M24" s="100"/>
      <c r="N24" s="99"/>
      <c r="O24" s="100"/>
      <c r="P24" s="100"/>
    </row>
    <row r="25" spans="1:16" s="14" customFormat="1" ht="18" customHeight="1">
      <c r="A25" s="76" t="s">
        <v>26</v>
      </c>
      <c r="B25" s="102">
        <f>SUM(B21:B24)</f>
        <v>2461</v>
      </c>
      <c r="C25" s="105">
        <f>SUM(C21:C24)</f>
        <v>3205.8779999999997</v>
      </c>
      <c r="D25" s="81"/>
      <c r="E25" s="82"/>
      <c r="F25" s="12"/>
      <c r="G25" s="13"/>
      <c r="H25" s="81"/>
      <c r="I25" s="82"/>
      <c r="J25" s="12"/>
      <c r="K25" s="13"/>
      <c r="L25" s="99">
        <f>L21+L23</f>
        <v>2361</v>
      </c>
      <c r="M25" s="100">
        <f>M21+M23</f>
        <v>31.814999999999998</v>
      </c>
      <c r="N25" s="99">
        <f>SUM(N21:N24)</f>
        <v>25</v>
      </c>
      <c r="O25" s="100">
        <f>SUM(O21:O24)</f>
        <v>5.481</v>
      </c>
      <c r="P25" s="100">
        <f>SUM(P21:P24)</f>
        <v>353.452</v>
      </c>
    </row>
    <row r="26" spans="1:16" s="14" customFormat="1" ht="18" customHeight="1">
      <c r="A26" s="76"/>
      <c r="B26" s="103"/>
      <c r="C26" s="106"/>
      <c r="D26" s="15">
        <f>D22+D24</f>
        <v>795.07</v>
      </c>
      <c r="E26" s="16">
        <f>D26/C25*100</f>
        <v>24.80038229776679</v>
      </c>
      <c r="F26" s="17">
        <f>F22+F24</f>
        <v>2289.004</v>
      </c>
      <c r="G26" s="18">
        <f>F26/C25*100</f>
        <v>71.40022171773225</v>
      </c>
      <c r="H26" s="15">
        <f>H22+H24</f>
        <v>447.703</v>
      </c>
      <c r="I26" s="16">
        <f>H26/C25*100</f>
        <v>13.965066668163917</v>
      </c>
      <c r="J26" s="17">
        <f>J22+J24</f>
        <v>3040.372</v>
      </c>
      <c r="K26" s="18">
        <f>J26/C25*100</f>
        <v>94.83742051319483</v>
      </c>
      <c r="L26" s="99"/>
      <c r="M26" s="100"/>
      <c r="N26" s="99"/>
      <c r="O26" s="100"/>
      <c r="P26" s="100"/>
    </row>
    <row r="27" spans="1:16" s="14" customFormat="1" ht="18" customHeight="1">
      <c r="A27" s="76" t="s">
        <v>43</v>
      </c>
      <c r="B27" s="101">
        <v>26325</v>
      </c>
      <c r="C27" s="105">
        <f>10880850/1000</f>
        <v>10880.85</v>
      </c>
      <c r="D27" s="81"/>
      <c r="E27" s="82"/>
      <c r="F27" s="12"/>
      <c r="G27" s="13"/>
      <c r="H27" s="81"/>
      <c r="I27" s="82"/>
      <c r="J27" s="12"/>
      <c r="K27" s="13"/>
      <c r="L27" s="99">
        <v>6787</v>
      </c>
      <c r="M27" s="100">
        <f>60139/1000</f>
        <v>60.139</v>
      </c>
      <c r="N27" s="99">
        <v>34</v>
      </c>
      <c r="O27" s="100">
        <f>6436/1000</f>
        <v>6.436</v>
      </c>
      <c r="P27" s="100">
        <f>194250/1000</f>
        <v>194.25</v>
      </c>
    </row>
    <row r="28" spans="1:16" s="14" customFormat="1" ht="18" customHeight="1">
      <c r="A28" s="76"/>
      <c r="B28" s="101"/>
      <c r="C28" s="106"/>
      <c r="D28" s="15">
        <f>735009/1000</f>
        <v>735.009</v>
      </c>
      <c r="E28" s="16">
        <f>D28/C27*100</f>
        <v>6.755069686651319</v>
      </c>
      <c r="F28" s="17">
        <f>4755182/1000</f>
        <v>4755.182</v>
      </c>
      <c r="G28" s="18">
        <f>F28/C27*100</f>
        <v>43.702302669368656</v>
      </c>
      <c r="H28" s="15">
        <f>1355213/1000</f>
        <v>1355.213</v>
      </c>
      <c r="I28" s="16">
        <f>H28/C27*100</f>
        <v>12.455028789111145</v>
      </c>
      <c r="J28" s="17">
        <f>8883488/1000</f>
        <v>8883.488</v>
      </c>
      <c r="K28" s="18">
        <f>J28/C27*100</f>
        <v>81.6433274973922</v>
      </c>
      <c r="L28" s="99"/>
      <c r="M28" s="100"/>
      <c r="N28" s="99"/>
      <c r="O28" s="100"/>
      <c r="P28" s="100"/>
    </row>
    <row r="29" spans="1:16" s="14" customFormat="1" ht="18" customHeight="1">
      <c r="A29" s="76" t="s">
        <v>27</v>
      </c>
      <c r="B29" s="101">
        <f>SUM(B25:B28)</f>
        <v>28786</v>
      </c>
      <c r="C29" s="105">
        <f>SUM(C25:C28)</f>
        <v>14086.728</v>
      </c>
      <c r="D29" s="81"/>
      <c r="E29" s="82"/>
      <c r="F29" s="19"/>
      <c r="G29" s="13"/>
      <c r="H29" s="81"/>
      <c r="I29" s="82"/>
      <c r="J29" s="19"/>
      <c r="K29" s="13"/>
      <c r="L29" s="99">
        <f>SUM(L25:L28)</f>
        <v>9148</v>
      </c>
      <c r="M29" s="100">
        <f>SUM(M25:M28)</f>
        <v>91.95400000000001</v>
      </c>
      <c r="N29" s="99">
        <f>SUM(N25:N28)</f>
        <v>59</v>
      </c>
      <c r="O29" s="100">
        <f>SUM(O25:O28)</f>
        <v>11.917</v>
      </c>
      <c r="P29" s="100">
        <f>SUM(P25:P28)</f>
        <v>547.702</v>
      </c>
    </row>
    <row r="30" spans="1:16" s="14" customFormat="1" ht="18" customHeight="1">
      <c r="A30" s="76"/>
      <c r="B30" s="101"/>
      <c r="C30" s="106"/>
      <c r="D30" s="15">
        <f>D26+D28</f>
        <v>1530.0790000000002</v>
      </c>
      <c r="E30" s="16">
        <f>D30/C29*100</f>
        <v>10.861848116894144</v>
      </c>
      <c r="F30" s="30">
        <f>F26+F28</f>
        <v>7044.186</v>
      </c>
      <c r="G30" s="18">
        <f>F30/C29*100</f>
        <v>50.00583527984639</v>
      </c>
      <c r="H30" s="15">
        <f>H26+H28</f>
        <v>1802.916</v>
      </c>
      <c r="I30" s="16">
        <f>H30/C29*100</f>
        <v>12.798685400896503</v>
      </c>
      <c r="J30" s="17">
        <f>J26+J28</f>
        <v>11923.859999999999</v>
      </c>
      <c r="K30" s="18">
        <f>J30/C29*100</f>
        <v>84.64605833235368</v>
      </c>
      <c r="L30" s="99"/>
      <c r="M30" s="100"/>
      <c r="N30" s="99"/>
      <c r="O30" s="100"/>
      <c r="P30" s="100"/>
    </row>
    <row r="31" spans="1:16" s="14" customFormat="1" ht="18" customHeight="1">
      <c r="A31" s="76" t="s">
        <v>28</v>
      </c>
      <c r="B31" s="101">
        <f>SUM(B17,B29)</f>
        <v>29047</v>
      </c>
      <c r="C31" s="98">
        <f>C5+C7+C11+C13+C21+C23+C27</f>
        <v>18055.2824</v>
      </c>
      <c r="D31" s="81"/>
      <c r="E31" s="82"/>
      <c r="F31" s="19"/>
      <c r="G31" s="13"/>
      <c r="H31" s="81"/>
      <c r="I31" s="82"/>
      <c r="J31" s="19"/>
      <c r="K31" s="13"/>
      <c r="L31" s="99">
        <f>SUM(L29,L17)</f>
        <v>12143</v>
      </c>
      <c r="M31" s="100">
        <f>M17+M29</f>
        <v>192.7897</v>
      </c>
      <c r="N31" s="99">
        <f>SUM(N29,N17)</f>
        <v>274</v>
      </c>
      <c r="O31" s="100">
        <f>O17+O29</f>
        <v>113.31540000000001</v>
      </c>
      <c r="P31" s="100">
        <f>P17+P29</f>
        <v>1920.6854</v>
      </c>
    </row>
    <row r="32" spans="1:16" s="14" customFormat="1" ht="18" customHeight="1">
      <c r="A32" s="76"/>
      <c r="B32" s="101"/>
      <c r="C32" s="98"/>
      <c r="D32" s="15">
        <f>D6+D8+D12+D14+D22+D24+D28</f>
        <v>3972.0908</v>
      </c>
      <c r="E32" s="16">
        <f>D32/C31*100</f>
        <v>21.999604946638772</v>
      </c>
      <c r="F32" s="30">
        <f>F6+F8+F12+F14+F22+F24+F28</f>
        <v>10002.975999999999</v>
      </c>
      <c r="G32" s="18">
        <f>F32/C31*100</f>
        <v>55.401936000735155</v>
      </c>
      <c r="H32" s="15">
        <f>H6+H8+H12+H14+H22+H24+H28</f>
        <v>3920.2282000000005</v>
      </c>
      <c r="I32" s="16">
        <f>H32/C31*100</f>
        <v>21.71236158565983</v>
      </c>
      <c r="J32" s="30">
        <f>J6+J8+J12+J14+J22+J24+J28</f>
        <v>15726.3877</v>
      </c>
      <c r="K32" s="18">
        <f>J32/C31*100</f>
        <v>87.10131113762031</v>
      </c>
      <c r="L32" s="99"/>
      <c r="M32" s="100"/>
      <c r="N32" s="99"/>
      <c r="O32" s="100"/>
      <c r="P32" s="100"/>
    </row>
    <row r="33" spans="1:16" ht="14.25" customHeight="1">
      <c r="A33" s="20" t="s">
        <v>31</v>
      </c>
      <c r="B33" s="21"/>
      <c r="C33" s="22"/>
      <c r="D33" s="23"/>
      <c r="E33" s="24"/>
      <c r="F33" s="23"/>
      <c r="G33" s="24"/>
      <c r="H33" s="23"/>
      <c r="I33" s="24"/>
      <c r="J33" s="23"/>
      <c r="K33" s="24"/>
      <c r="L33" s="25"/>
      <c r="M33" s="26"/>
      <c r="N33" s="25"/>
      <c r="O33" s="26"/>
      <c r="P33" s="26"/>
    </row>
    <row r="34" ht="13.5">
      <c r="A34" s="20" t="s">
        <v>32</v>
      </c>
    </row>
    <row r="35" ht="13.5">
      <c r="A35" s="20" t="s">
        <v>33</v>
      </c>
    </row>
    <row r="36" ht="13.5">
      <c r="A36" s="20" t="s">
        <v>44</v>
      </c>
    </row>
    <row r="37" ht="13.5">
      <c r="A37" s="20" t="s">
        <v>45</v>
      </c>
    </row>
    <row r="38" ht="13.5">
      <c r="A38" s="20" t="s">
        <v>46</v>
      </c>
    </row>
  </sheetData>
  <sheetProtection/>
  <mergeCells count="158">
    <mergeCell ref="P31:P32"/>
    <mergeCell ref="O29:O30"/>
    <mergeCell ref="M31:M32"/>
    <mergeCell ref="N31:N32"/>
    <mergeCell ref="O31:O32"/>
    <mergeCell ref="O27:O28"/>
    <mergeCell ref="P29:P30"/>
    <mergeCell ref="M29:M30"/>
    <mergeCell ref="N29:N30"/>
    <mergeCell ref="M27:M28"/>
    <mergeCell ref="A31:A32"/>
    <mergeCell ref="B31:B32"/>
    <mergeCell ref="C31:C32"/>
    <mergeCell ref="D31:E31"/>
    <mergeCell ref="H31:I31"/>
    <mergeCell ref="L29:L30"/>
    <mergeCell ref="A29:A30"/>
    <mergeCell ref="B29:B30"/>
    <mergeCell ref="L31:L32"/>
    <mergeCell ref="P25:P26"/>
    <mergeCell ref="P27:P28"/>
    <mergeCell ref="C29:C30"/>
    <mergeCell ref="D29:E29"/>
    <mergeCell ref="H29:I29"/>
    <mergeCell ref="N25:N26"/>
    <mergeCell ref="N27:N28"/>
    <mergeCell ref="C27:C28"/>
    <mergeCell ref="D27:E27"/>
    <mergeCell ref="L27:L28"/>
    <mergeCell ref="A23:A24"/>
    <mergeCell ref="B23:B24"/>
    <mergeCell ref="A27:A28"/>
    <mergeCell ref="B27:B28"/>
    <mergeCell ref="H27:I27"/>
    <mergeCell ref="A25:A26"/>
    <mergeCell ref="B25:B26"/>
    <mergeCell ref="C25:C26"/>
    <mergeCell ref="D25:E25"/>
    <mergeCell ref="H25:I25"/>
    <mergeCell ref="M23:M24"/>
    <mergeCell ref="M25:M26"/>
    <mergeCell ref="O21:O22"/>
    <mergeCell ref="P21:P22"/>
    <mergeCell ref="O23:O24"/>
    <mergeCell ref="P23:P24"/>
    <mergeCell ref="M21:M22"/>
    <mergeCell ref="N21:N22"/>
    <mergeCell ref="N23:N24"/>
    <mergeCell ref="O25:O26"/>
    <mergeCell ref="L25:L26"/>
    <mergeCell ref="C23:C24"/>
    <mergeCell ref="D23:E23"/>
    <mergeCell ref="H23:I23"/>
    <mergeCell ref="L23:L24"/>
    <mergeCell ref="A21:A22"/>
    <mergeCell ref="B21:B22"/>
    <mergeCell ref="C21:C22"/>
    <mergeCell ref="D21:E21"/>
    <mergeCell ref="H21:I21"/>
    <mergeCell ref="L21:L22"/>
    <mergeCell ref="M17:M18"/>
    <mergeCell ref="N17:N18"/>
    <mergeCell ref="M19:M20"/>
    <mergeCell ref="N19:N20"/>
    <mergeCell ref="O17:O18"/>
    <mergeCell ref="P17:P18"/>
    <mergeCell ref="O19:O20"/>
    <mergeCell ref="P19:P20"/>
    <mergeCell ref="A19:A20"/>
    <mergeCell ref="B19:B20"/>
    <mergeCell ref="C19:C20"/>
    <mergeCell ref="D19:E19"/>
    <mergeCell ref="H19:I19"/>
    <mergeCell ref="L19:L20"/>
    <mergeCell ref="A17:A18"/>
    <mergeCell ref="B17:B18"/>
    <mergeCell ref="O13:O14"/>
    <mergeCell ref="P13:P14"/>
    <mergeCell ref="C17:C18"/>
    <mergeCell ref="D17:E17"/>
    <mergeCell ref="H17:I17"/>
    <mergeCell ref="L17:L18"/>
    <mergeCell ref="M15:M16"/>
    <mergeCell ref="N15:N16"/>
    <mergeCell ref="O15:O16"/>
    <mergeCell ref="P15:P16"/>
    <mergeCell ref="A15:A16"/>
    <mergeCell ref="B15:B16"/>
    <mergeCell ref="C15:C16"/>
    <mergeCell ref="D15:E15"/>
    <mergeCell ref="H15:I15"/>
    <mergeCell ref="L15:L16"/>
    <mergeCell ref="M11:M12"/>
    <mergeCell ref="N11:N12"/>
    <mergeCell ref="M13:M14"/>
    <mergeCell ref="N13:N14"/>
    <mergeCell ref="O11:O12"/>
    <mergeCell ref="P11:P12"/>
    <mergeCell ref="A13:A14"/>
    <mergeCell ref="B13:B14"/>
    <mergeCell ref="C13:C14"/>
    <mergeCell ref="D13:E13"/>
    <mergeCell ref="H13:I13"/>
    <mergeCell ref="L13:L14"/>
    <mergeCell ref="A11:A12"/>
    <mergeCell ref="B11:B12"/>
    <mergeCell ref="O7:O8"/>
    <mergeCell ref="P7:P8"/>
    <mergeCell ref="C11:C12"/>
    <mergeCell ref="D11:E11"/>
    <mergeCell ref="H11:I11"/>
    <mergeCell ref="L11:L12"/>
    <mergeCell ref="M9:M10"/>
    <mergeCell ref="N9:N10"/>
    <mergeCell ref="O9:O10"/>
    <mergeCell ref="P9:P10"/>
    <mergeCell ref="A9:A10"/>
    <mergeCell ref="B9:B10"/>
    <mergeCell ref="C9:C10"/>
    <mergeCell ref="D9:E9"/>
    <mergeCell ref="H9:I9"/>
    <mergeCell ref="L9:L10"/>
    <mergeCell ref="M5:M6"/>
    <mergeCell ref="N5:N6"/>
    <mergeCell ref="M7:M8"/>
    <mergeCell ref="N7:N8"/>
    <mergeCell ref="O5:O6"/>
    <mergeCell ref="P5:P6"/>
    <mergeCell ref="A7:A8"/>
    <mergeCell ref="B7:B8"/>
    <mergeCell ref="C7:C8"/>
    <mergeCell ref="D7:E7"/>
    <mergeCell ref="H7:I7"/>
    <mergeCell ref="L7:L8"/>
    <mergeCell ref="A5:A6"/>
    <mergeCell ref="B5:B6"/>
    <mergeCell ref="C5:C6"/>
    <mergeCell ref="D5:G5"/>
    <mergeCell ref="H5:K5"/>
    <mergeCell ref="L5:L6"/>
    <mergeCell ref="N3:N4"/>
    <mergeCell ref="O3:O4"/>
    <mergeCell ref="D4:E4"/>
    <mergeCell ref="H4:I4"/>
    <mergeCell ref="H3:I3"/>
    <mergeCell ref="J3:K4"/>
    <mergeCell ref="L3:L4"/>
    <mergeCell ref="M3:M4"/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ignoredErrors>
    <ignoredError sqref="O27:P27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90" zoomScaleNormal="90" zoomScalePageLayoutView="0" workbookViewId="0" topLeftCell="A1">
      <pane xSplit="1" ySplit="4" topLeftCell="B5" activePane="bottomRight" state="frozen"/>
      <selection pane="topLeft" activeCell="B31" sqref="B31:B32"/>
      <selection pane="topRight" activeCell="B31" sqref="B31:B32"/>
      <selection pane="bottomLeft" activeCell="B31" sqref="B31:B32"/>
      <selection pane="bottomRight" activeCell="C13" sqref="C13:C14"/>
    </sheetView>
  </sheetViews>
  <sheetFormatPr defaultColWidth="8.875" defaultRowHeight="13.5"/>
  <cols>
    <col min="1" max="1" width="14.25390625" style="1" customWidth="1"/>
    <col min="2" max="2" width="8.875" style="1" customWidth="1"/>
    <col min="3" max="3" width="9.875" style="1" customWidth="1"/>
    <col min="4" max="4" width="14.75390625" style="1" customWidth="1"/>
    <col min="5" max="5" width="13.125" style="1" customWidth="1"/>
    <col min="6" max="6" width="10.75390625" style="1" customWidth="1"/>
    <col min="7" max="7" width="7.75390625" style="1" customWidth="1"/>
    <col min="8" max="8" width="14.75390625" style="1" customWidth="1"/>
    <col min="9" max="9" width="13.125" style="1" customWidth="1"/>
    <col min="10" max="10" width="10.75390625" style="1" customWidth="1"/>
    <col min="11" max="11" width="7.75390625" style="1" customWidth="1"/>
    <col min="12" max="12" width="8.875" style="1" customWidth="1"/>
    <col min="13" max="13" width="7.75390625" style="1" bestFit="1" customWidth="1"/>
    <col min="14" max="14" width="8.875" style="1" customWidth="1"/>
    <col min="15" max="15" width="9.00390625" style="1" bestFit="1" customWidth="1"/>
    <col min="16" max="16" width="9.625" style="1" bestFit="1" customWidth="1"/>
    <col min="17" max="16384" width="8.875" style="1" customWidth="1"/>
  </cols>
  <sheetData>
    <row r="1" spans="1:16" ht="36" customHeight="1">
      <c r="A1" s="126" t="s">
        <v>42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6" ht="25.5" customHeight="1">
      <c r="A2" s="112" t="s">
        <v>0</v>
      </c>
      <c r="B2" s="112" t="s">
        <v>1</v>
      </c>
      <c r="C2" s="112" t="s">
        <v>2</v>
      </c>
      <c r="D2" s="127" t="s">
        <v>3</v>
      </c>
      <c r="E2" s="127"/>
      <c r="F2" s="127"/>
      <c r="G2" s="127"/>
      <c r="H2" s="127" t="s">
        <v>4</v>
      </c>
      <c r="I2" s="127"/>
      <c r="J2" s="127"/>
      <c r="K2" s="127"/>
      <c r="L2" s="112" t="s">
        <v>5</v>
      </c>
      <c r="M2" s="112"/>
      <c r="N2" s="112" t="s">
        <v>6</v>
      </c>
      <c r="O2" s="112"/>
      <c r="P2" s="2" t="s">
        <v>7</v>
      </c>
    </row>
    <row r="3" spans="1:16" ht="13.5">
      <c r="A3" s="112"/>
      <c r="B3" s="112"/>
      <c r="C3" s="112"/>
      <c r="D3" s="114"/>
      <c r="E3" s="115"/>
      <c r="F3" s="115" t="s">
        <v>8</v>
      </c>
      <c r="G3" s="117"/>
      <c r="H3" s="120"/>
      <c r="I3" s="122"/>
      <c r="J3" s="115" t="s">
        <v>9</v>
      </c>
      <c r="K3" s="117"/>
      <c r="L3" s="125" t="s">
        <v>10</v>
      </c>
      <c r="M3" s="112" t="s">
        <v>11</v>
      </c>
      <c r="N3" s="112" t="s">
        <v>10</v>
      </c>
      <c r="O3" s="112" t="s">
        <v>11</v>
      </c>
      <c r="P3" s="4" t="s">
        <v>12</v>
      </c>
    </row>
    <row r="4" spans="1:16" ht="13.5">
      <c r="A4" s="112"/>
      <c r="B4" s="112"/>
      <c r="C4" s="112"/>
      <c r="D4" s="120" t="s">
        <v>13</v>
      </c>
      <c r="E4" s="121"/>
      <c r="F4" s="123"/>
      <c r="G4" s="124"/>
      <c r="H4" s="120" t="s">
        <v>14</v>
      </c>
      <c r="I4" s="121"/>
      <c r="J4" s="123"/>
      <c r="K4" s="124"/>
      <c r="L4" s="125"/>
      <c r="M4" s="112"/>
      <c r="N4" s="112"/>
      <c r="O4" s="112"/>
      <c r="P4" s="5" t="s">
        <v>15</v>
      </c>
    </row>
    <row r="5" spans="1:16" ht="18" customHeight="1">
      <c r="A5" s="118" t="s">
        <v>16</v>
      </c>
      <c r="B5" s="97">
        <v>6</v>
      </c>
      <c r="C5" s="98">
        <f>470115/1000</f>
        <v>470.115</v>
      </c>
      <c r="D5" s="114"/>
      <c r="E5" s="115"/>
      <c r="F5" s="115"/>
      <c r="G5" s="117"/>
      <c r="H5" s="114"/>
      <c r="I5" s="115"/>
      <c r="J5" s="115"/>
      <c r="K5" s="117"/>
      <c r="L5" s="109">
        <v>688</v>
      </c>
      <c r="M5" s="110">
        <f>44720/1000</f>
        <v>44.72</v>
      </c>
      <c r="N5" s="109">
        <v>51</v>
      </c>
      <c r="O5" s="110">
        <f>26253/1000</f>
        <v>26.253</v>
      </c>
      <c r="P5" s="110">
        <f>343995/1000</f>
        <v>343.995</v>
      </c>
    </row>
    <row r="6" spans="1:16" ht="18" customHeight="1">
      <c r="A6" s="119"/>
      <c r="B6" s="97"/>
      <c r="C6" s="98"/>
      <c r="D6" s="6">
        <f>$C$5</f>
        <v>470.115</v>
      </c>
      <c r="E6" s="7">
        <f>D6/C5*100</f>
        <v>100</v>
      </c>
      <c r="F6" s="8">
        <f>$C$5</f>
        <v>470.115</v>
      </c>
      <c r="G6" s="9">
        <f>F6/C5*100</f>
        <v>100</v>
      </c>
      <c r="H6" s="6">
        <f>$C$5</f>
        <v>470.115</v>
      </c>
      <c r="I6" s="7">
        <f>H6/C5*100</f>
        <v>100</v>
      </c>
      <c r="J6" s="8">
        <f>$C$5</f>
        <v>470.115</v>
      </c>
      <c r="K6" s="9">
        <f>J6/C5*100</f>
        <v>100</v>
      </c>
      <c r="L6" s="109"/>
      <c r="M6" s="110"/>
      <c r="N6" s="109"/>
      <c r="O6" s="110"/>
      <c r="P6" s="110"/>
    </row>
    <row r="7" spans="1:16" ht="18" customHeight="1">
      <c r="A7" s="112" t="s">
        <v>17</v>
      </c>
      <c r="B7" s="116">
        <v>13</v>
      </c>
      <c r="C7" s="111">
        <f>611027/1000</f>
        <v>611.027</v>
      </c>
      <c r="D7" s="114"/>
      <c r="E7" s="115"/>
      <c r="F7" s="10"/>
      <c r="G7" s="3"/>
      <c r="H7" s="114"/>
      <c r="I7" s="115"/>
      <c r="J7" s="10"/>
      <c r="K7" s="3"/>
      <c r="L7" s="109">
        <v>534</v>
      </c>
      <c r="M7" s="110">
        <f>20012/1000</f>
        <v>20.012</v>
      </c>
      <c r="N7" s="109">
        <v>84</v>
      </c>
      <c r="O7" s="110">
        <f>46678.1/1000</f>
        <v>46.6781</v>
      </c>
      <c r="P7" s="110">
        <f>356941/1000</f>
        <v>356.941</v>
      </c>
    </row>
    <row r="8" spans="1:16" ht="18" customHeight="1">
      <c r="A8" s="112"/>
      <c r="B8" s="116"/>
      <c r="C8" s="111"/>
      <c r="D8" s="6">
        <f>(486037)/1000</f>
        <v>486.037</v>
      </c>
      <c r="E8" s="7">
        <f>D8/C7*100</f>
        <v>79.54427545754933</v>
      </c>
      <c r="F8" s="8">
        <f>531270/1000</f>
        <v>531.27</v>
      </c>
      <c r="G8" s="9">
        <f>F8/C7*100</f>
        <v>86.94705798598096</v>
      </c>
      <c r="H8" s="6">
        <f>(445120)/1000</f>
        <v>445.12</v>
      </c>
      <c r="I8" s="7">
        <f>H8/C7*100</f>
        <v>72.84784469426064</v>
      </c>
      <c r="J8" s="8">
        <f>608555/1000</f>
        <v>608.555</v>
      </c>
      <c r="K8" s="9">
        <f>J8/C7*100</f>
        <v>99.59543522626659</v>
      </c>
      <c r="L8" s="109"/>
      <c r="M8" s="110"/>
      <c r="N8" s="109"/>
      <c r="O8" s="110"/>
      <c r="P8" s="110"/>
    </row>
    <row r="9" spans="1:16" ht="18" customHeight="1">
      <c r="A9" s="112" t="s">
        <v>18</v>
      </c>
      <c r="B9" s="101">
        <v>18</v>
      </c>
      <c r="C9" s="98">
        <f>SUM(C5:C8)</f>
        <v>1081.142</v>
      </c>
      <c r="D9" s="114"/>
      <c r="E9" s="115"/>
      <c r="F9" s="10"/>
      <c r="G9" s="3"/>
      <c r="H9" s="114"/>
      <c r="I9" s="115"/>
      <c r="J9" s="10"/>
      <c r="K9" s="3"/>
      <c r="L9" s="109">
        <f>L5+L7</f>
        <v>1222</v>
      </c>
      <c r="M9" s="110">
        <f>M5+M7</f>
        <v>64.732</v>
      </c>
      <c r="N9" s="109">
        <f>N5+N7</f>
        <v>135</v>
      </c>
      <c r="O9" s="110">
        <f>O5+O7</f>
        <v>72.9311</v>
      </c>
      <c r="P9" s="110">
        <f>P5+P7</f>
        <v>700.9359999999999</v>
      </c>
    </row>
    <row r="10" spans="1:16" ht="18" customHeight="1">
      <c r="A10" s="112"/>
      <c r="B10" s="101"/>
      <c r="C10" s="98"/>
      <c r="D10" s="6">
        <f>D6+D8</f>
        <v>956.152</v>
      </c>
      <c r="E10" s="7">
        <f>D10/C9*100</f>
        <v>88.43907645804158</v>
      </c>
      <c r="F10" s="8">
        <f>F6+F8</f>
        <v>1001.385</v>
      </c>
      <c r="G10" s="9">
        <f>F10/C9*100</f>
        <v>92.62289319996817</v>
      </c>
      <c r="H10" s="6">
        <f>H6+H8</f>
        <v>915.235</v>
      </c>
      <c r="I10" s="7">
        <f>H10/C9*100</f>
        <v>84.6544672207721</v>
      </c>
      <c r="J10" s="8">
        <f>J6+J8</f>
        <v>1078.67</v>
      </c>
      <c r="K10" s="9">
        <f>J10/C9*100</f>
        <v>99.77135288426497</v>
      </c>
      <c r="L10" s="109"/>
      <c r="M10" s="110"/>
      <c r="N10" s="109"/>
      <c r="O10" s="110"/>
      <c r="P10" s="110"/>
    </row>
    <row r="11" spans="1:16" ht="18" customHeight="1">
      <c r="A11" s="112" t="s">
        <v>19</v>
      </c>
      <c r="B11" s="113">
        <v>54</v>
      </c>
      <c r="C11" s="111">
        <f>1099182/1000</f>
        <v>1099.182</v>
      </c>
      <c r="D11" s="114"/>
      <c r="E11" s="115"/>
      <c r="F11" s="10"/>
      <c r="G11" s="3"/>
      <c r="H11" s="114"/>
      <c r="I11" s="115"/>
      <c r="J11" s="10"/>
      <c r="K11" s="3"/>
      <c r="L11" s="109">
        <v>749</v>
      </c>
      <c r="M11" s="110">
        <f>18956/1000</f>
        <v>18.956</v>
      </c>
      <c r="N11" s="109">
        <v>55</v>
      </c>
      <c r="O11" s="110">
        <f>21034.6/1000</f>
        <v>21.034599999999998</v>
      </c>
      <c r="P11" s="110">
        <f>373366/1000</f>
        <v>373.366</v>
      </c>
    </row>
    <row r="12" spans="1:16" ht="18" customHeight="1">
      <c r="A12" s="112"/>
      <c r="B12" s="113"/>
      <c r="C12" s="111"/>
      <c r="D12" s="6">
        <f>(745595)/1000</f>
        <v>745.595</v>
      </c>
      <c r="E12" s="7">
        <f>D12/C11*100</f>
        <v>67.83180583379277</v>
      </c>
      <c r="F12" s="8">
        <f>879092/1000</f>
        <v>879.092</v>
      </c>
      <c r="G12" s="9">
        <f>F12/C11*100</f>
        <v>79.97692829758857</v>
      </c>
      <c r="H12" s="6">
        <f>620923.5/1000</f>
        <v>620.9235</v>
      </c>
      <c r="I12" s="7">
        <f>H12/C11*100</f>
        <v>56.48959862879851</v>
      </c>
      <c r="J12" s="8">
        <f>1071348/1000</f>
        <v>1071.348</v>
      </c>
      <c r="K12" s="9">
        <f>J12/C11*100</f>
        <v>97.46775329290325</v>
      </c>
      <c r="L12" s="109"/>
      <c r="M12" s="110"/>
      <c r="N12" s="109"/>
      <c r="O12" s="110"/>
      <c r="P12" s="110"/>
    </row>
    <row r="13" spans="1:16" ht="18" customHeight="1">
      <c r="A13" s="112" t="s">
        <v>20</v>
      </c>
      <c r="B13" s="113">
        <v>190</v>
      </c>
      <c r="C13" s="111">
        <f>1795793/1000</f>
        <v>1795.793</v>
      </c>
      <c r="D13" s="114"/>
      <c r="E13" s="115"/>
      <c r="F13" s="11"/>
      <c r="G13" s="3"/>
      <c r="H13" s="114"/>
      <c r="I13" s="115"/>
      <c r="J13" s="11"/>
      <c r="K13" s="3"/>
      <c r="L13" s="109">
        <v>1010</v>
      </c>
      <c r="M13" s="110">
        <f>16317/1000</f>
        <v>16.317</v>
      </c>
      <c r="N13" s="109">
        <v>23</v>
      </c>
      <c r="O13" s="110">
        <f>5214.7/1000</f>
        <v>5.2147</v>
      </c>
      <c r="P13" s="110">
        <f>289423/1000</f>
        <v>289.423</v>
      </c>
    </row>
    <row r="14" spans="1:16" ht="18" customHeight="1">
      <c r="A14" s="112"/>
      <c r="B14" s="113"/>
      <c r="C14" s="111"/>
      <c r="D14" s="6">
        <f>(734624)/1000</f>
        <v>734.624</v>
      </c>
      <c r="E14" s="7">
        <f>D14/C13*100</f>
        <v>40.90805566120372</v>
      </c>
      <c r="F14" s="8">
        <f>1076393/1000</f>
        <v>1076.393</v>
      </c>
      <c r="G14" s="9">
        <f>F14/C13*100</f>
        <v>59.939703518167185</v>
      </c>
      <c r="H14" s="6">
        <f>573849.5/1000</f>
        <v>573.8495</v>
      </c>
      <c r="I14" s="7">
        <f>H14/C13*100</f>
        <v>31.95521421455591</v>
      </c>
      <c r="J14" s="8">
        <f>1659869/1000</f>
        <v>1659.869</v>
      </c>
      <c r="K14" s="9">
        <f>J14/C13*100</f>
        <v>92.43097617598465</v>
      </c>
      <c r="L14" s="109"/>
      <c r="M14" s="110"/>
      <c r="N14" s="109"/>
      <c r="O14" s="110"/>
      <c r="P14" s="110"/>
    </row>
    <row r="15" spans="1:16" ht="18" customHeight="1">
      <c r="A15" s="112" t="s">
        <v>21</v>
      </c>
      <c r="B15" s="113">
        <f>SUM(B11:B14)</f>
        <v>244</v>
      </c>
      <c r="C15" s="111">
        <f>SUM(C11:C14)</f>
        <v>2894.975</v>
      </c>
      <c r="D15" s="114"/>
      <c r="E15" s="115"/>
      <c r="F15" s="10"/>
      <c r="G15" s="3"/>
      <c r="H15" s="114"/>
      <c r="I15" s="115"/>
      <c r="J15" s="10"/>
      <c r="K15" s="3"/>
      <c r="L15" s="109">
        <f>SUM(L11:L14)</f>
        <v>1759</v>
      </c>
      <c r="M15" s="110">
        <f>SUM(M11:M14)</f>
        <v>35.272999999999996</v>
      </c>
      <c r="N15" s="109">
        <f>SUM(N11:N14)</f>
        <v>78</v>
      </c>
      <c r="O15" s="110">
        <f>SUM(O11:O14)</f>
        <v>26.249299999999998</v>
      </c>
      <c r="P15" s="110">
        <f>SUM(P11:P14)</f>
        <v>662.789</v>
      </c>
    </row>
    <row r="16" spans="1:16" ht="18" customHeight="1">
      <c r="A16" s="112"/>
      <c r="B16" s="113"/>
      <c r="C16" s="111"/>
      <c r="D16" s="6">
        <f>D12+D14</f>
        <v>1480.219</v>
      </c>
      <c r="E16" s="7">
        <f>D16/C15*100</f>
        <v>51.130631525315415</v>
      </c>
      <c r="F16" s="8">
        <f>F12+F14</f>
        <v>1955.4850000000001</v>
      </c>
      <c r="G16" s="9">
        <f>F16/C15*100</f>
        <v>67.54756085976564</v>
      </c>
      <c r="H16" s="6">
        <v>1194.8</v>
      </c>
      <c r="I16" s="7">
        <f>H16/C15*100</f>
        <v>41.27151357092894</v>
      </c>
      <c r="J16" s="8">
        <f>2731218/1000</f>
        <v>2731.218</v>
      </c>
      <c r="K16" s="9">
        <f>J16/C15*100</f>
        <v>94.34340538346618</v>
      </c>
      <c r="L16" s="109"/>
      <c r="M16" s="110"/>
      <c r="N16" s="109"/>
      <c r="O16" s="110"/>
      <c r="P16" s="110"/>
    </row>
    <row r="17" spans="1:16" s="14" customFormat="1" ht="18" customHeight="1">
      <c r="A17" s="76" t="s">
        <v>22</v>
      </c>
      <c r="B17" s="102">
        <f>B9+B15</f>
        <v>262</v>
      </c>
      <c r="C17" s="111">
        <f>C9+C15</f>
        <v>3976.117</v>
      </c>
      <c r="D17" s="81"/>
      <c r="E17" s="82"/>
      <c r="F17" s="12"/>
      <c r="G17" s="13"/>
      <c r="H17" s="81"/>
      <c r="I17" s="82"/>
      <c r="J17" s="12"/>
      <c r="K17" s="13"/>
      <c r="L17" s="109">
        <f>L9+L15</f>
        <v>2981</v>
      </c>
      <c r="M17" s="110">
        <f>M9+M15</f>
        <v>100.005</v>
      </c>
      <c r="N17" s="109">
        <f>N9+N15</f>
        <v>213</v>
      </c>
      <c r="O17" s="110">
        <f>O9+O15</f>
        <v>99.18039999999999</v>
      </c>
      <c r="P17" s="110">
        <f>P9+P15</f>
        <v>1363.725</v>
      </c>
    </row>
    <row r="18" spans="1:16" s="14" customFormat="1" ht="18" customHeight="1">
      <c r="A18" s="76"/>
      <c r="B18" s="103"/>
      <c r="C18" s="111"/>
      <c r="D18" s="15">
        <f>D10+D16</f>
        <v>2436.371</v>
      </c>
      <c r="E18" s="16">
        <f>D18/C17*100</f>
        <v>61.27513350336522</v>
      </c>
      <c r="F18" s="17">
        <f>F10+F16</f>
        <v>2956.87</v>
      </c>
      <c r="G18" s="18">
        <f>F18/C17*100</f>
        <v>74.36576941775103</v>
      </c>
      <c r="H18" s="15">
        <f>H10+H16</f>
        <v>2110.035</v>
      </c>
      <c r="I18" s="16">
        <f>H18/C17*100</f>
        <v>53.06772914378525</v>
      </c>
      <c r="J18" s="17">
        <f>J10+J16</f>
        <v>3809.888</v>
      </c>
      <c r="K18" s="18">
        <f>J18/C17*100</f>
        <v>95.81931316407439</v>
      </c>
      <c r="L18" s="109"/>
      <c r="M18" s="110"/>
      <c r="N18" s="109"/>
      <c r="O18" s="110"/>
      <c r="P18" s="110"/>
    </row>
    <row r="19" spans="1:16" s="14" customFormat="1" ht="18" customHeight="1">
      <c r="A19" s="76" t="s">
        <v>23</v>
      </c>
      <c r="B19" s="102">
        <f>B7+B15</f>
        <v>257</v>
      </c>
      <c r="C19" s="111">
        <f>C7+C15</f>
        <v>3506.002</v>
      </c>
      <c r="D19" s="81"/>
      <c r="E19" s="82"/>
      <c r="F19" s="12"/>
      <c r="G19" s="13"/>
      <c r="H19" s="81"/>
      <c r="I19" s="82"/>
      <c r="J19" s="12"/>
      <c r="K19" s="13"/>
      <c r="L19" s="109">
        <f>L7+L15</f>
        <v>2293</v>
      </c>
      <c r="M19" s="100">
        <f>M7+M15</f>
        <v>55.285</v>
      </c>
      <c r="N19" s="109">
        <f>N7+N15</f>
        <v>162</v>
      </c>
      <c r="O19" s="100">
        <f>O7+O15</f>
        <v>72.9274</v>
      </c>
      <c r="P19" s="100">
        <f>P7+P15</f>
        <v>1019.73</v>
      </c>
    </row>
    <row r="20" spans="1:16" s="14" customFormat="1" ht="18" customHeight="1">
      <c r="A20" s="76"/>
      <c r="B20" s="103"/>
      <c r="C20" s="111"/>
      <c r="D20" s="15">
        <f>D8+D16</f>
        <v>1966.256</v>
      </c>
      <c r="E20" s="16">
        <f>D20/C19*100</f>
        <v>56.08256926265302</v>
      </c>
      <c r="F20" s="17">
        <f>F8+F16</f>
        <v>2486.755</v>
      </c>
      <c r="G20" s="18">
        <f>F20/C19*100</f>
        <v>70.92851059411832</v>
      </c>
      <c r="H20" s="15">
        <f>H8+H16</f>
        <v>1639.92</v>
      </c>
      <c r="I20" s="16">
        <f>H20/C19*100</f>
        <v>46.774645308245695</v>
      </c>
      <c r="J20" s="17">
        <f>J8+J16</f>
        <v>3339.7729999999997</v>
      </c>
      <c r="K20" s="18">
        <f>J20/C19*100</f>
        <v>95.25873059969732</v>
      </c>
      <c r="L20" s="109"/>
      <c r="M20" s="100"/>
      <c r="N20" s="109"/>
      <c r="O20" s="100"/>
      <c r="P20" s="100"/>
    </row>
    <row r="21" spans="1:16" s="14" customFormat="1" ht="18" customHeight="1">
      <c r="A21" s="76" t="s">
        <v>24</v>
      </c>
      <c r="B21" s="102">
        <v>1065</v>
      </c>
      <c r="C21" s="105">
        <f>1574483/1000</f>
        <v>1574.483</v>
      </c>
      <c r="D21" s="81"/>
      <c r="E21" s="82"/>
      <c r="F21" s="12"/>
      <c r="G21" s="13"/>
      <c r="H21" s="81"/>
      <c r="I21" s="82"/>
      <c r="J21" s="12"/>
      <c r="K21" s="13"/>
      <c r="L21" s="109">
        <v>1145</v>
      </c>
      <c r="M21" s="100">
        <f>19565/1000</f>
        <v>19.565</v>
      </c>
      <c r="N21" s="109">
        <v>21</v>
      </c>
      <c r="O21" s="100">
        <f>4841/1000</f>
        <v>4.841</v>
      </c>
      <c r="P21" s="100">
        <f>283347/1000</f>
        <v>283.347</v>
      </c>
    </row>
    <row r="22" spans="1:16" s="14" customFormat="1" ht="18" customHeight="1">
      <c r="A22" s="76"/>
      <c r="B22" s="103"/>
      <c r="C22" s="106"/>
      <c r="D22" s="15">
        <f>(5686+24606+533375)/1000</f>
        <v>563.667</v>
      </c>
      <c r="E22" s="16">
        <f>D22/C21*100</f>
        <v>35.800132487934135</v>
      </c>
      <c r="F22" s="17">
        <v>1239.3</v>
      </c>
      <c r="G22" s="18">
        <f>F22/C21*100</f>
        <v>78.71155166489572</v>
      </c>
      <c r="H22" s="15">
        <f>(46638+257154)/1000</f>
        <v>303.792</v>
      </c>
      <c r="I22" s="16">
        <f>H22/C21*100</f>
        <v>19.294714518988137</v>
      </c>
      <c r="J22" s="17">
        <v>1512.721</v>
      </c>
      <c r="K22" s="18">
        <f>J22/C21*100</f>
        <v>96.07731553786228</v>
      </c>
      <c r="L22" s="109"/>
      <c r="M22" s="100"/>
      <c r="N22" s="109"/>
      <c r="O22" s="100"/>
      <c r="P22" s="100"/>
    </row>
    <row r="23" spans="1:16" s="14" customFormat="1" ht="18" customHeight="1">
      <c r="A23" s="76" t="s">
        <v>25</v>
      </c>
      <c r="B23" s="102">
        <v>1394</v>
      </c>
      <c r="C23" s="105">
        <f>1640220/1000</f>
        <v>1640.22</v>
      </c>
      <c r="D23" s="107"/>
      <c r="E23" s="108"/>
      <c r="F23" s="12"/>
      <c r="G23" s="13"/>
      <c r="H23" s="107"/>
      <c r="I23" s="108"/>
      <c r="J23" s="12"/>
      <c r="K23" s="13"/>
      <c r="L23" s="109">
        <v>1217</v>
      </c>
      <c r="M23" s="100">
        <f>12238/1000</f>
        <v>12.238</v>
      </c>
      <c r="N23" s="109">
        <v>4</v>
      </c>
      <c r="O23" s="100">
        <f>640/1000</f>
        <v>0.64</v>
      </c>
      <c r="P23" s="100">
        <f>67794/1000</f>
        <v>67.794</v>
      </c>
    </row>
    <row r="24" spans="1:16" s="14" customFormat="1" ht="18" customHeight="1">
      <c r="A24" s="76"/>
      <c r="B24" s="103"/>
      <c r="C24" s="106"/>
      <c r="D24" s="15">
        <f>(233+2212+223200)/1000</f>
        <v>225.645</v>
      </c>
      <c r="E24" s="16">
        <f>D24/C23*100</f>
        <v>13.75699601273</v>
      </c>
      <c r="F24" s="17">
        <f>1044799/1000</f>
        <v>1044.799</v>
      </c>
      <c r="G24" s="18">
        <f>F24/C23*100</f>
        <v>63.69871114850446</v>
      </c>
      <c r="H24" s="15">
        <f>(92506+51442)/1000</f>
        <v>143.948</v>
      </c>
      <c r="I24" s="16">
        <f>H24/C23*100</f>
        <v>8.776139786126251</v>
      </c>
      <c r="J24" s="17">
        <f>1532426/1000</f>
        <v>1532.426</v>
      </c>
      <c r="K24" s="18">
        <f>J24/C23*100</f>
        <v>93.42807672141541</v>
      </c>
      <c r="L24" s="109"/>
      <c r="M24" s="100"/>
      <c r="N24" s="109"/>
      <c r="O24" s="100"/>
      <c r="P24" s="100"/>
    </row>
    <row r="25" spans="1:16" s="14" customFormat="1" ht="18" customHeight="1">
      <c r="A25" s="76" t="s">
        <v>26</v>
      </c>
      <c r="B25" s="102">
        <f>SUM(B21:B24)</f>
        <v>2459</v>
      </c>
      <c r="C25" s="105">
        <f>SUM(C21:C24)</f>
        <v>3214.703</v>
      </c>
      <c r="D25" s="81"/>
      <c r="E25" s="82"/>
      <c r="F25" s="12"/>
      <c r="G25" s="13"/>
      <c r="H25" s="81"/>
      <c r="I25" s="82"/>
      <c r="J25" s="12"/>
      <c r="K25" s="13"/>
      <c r="L25" s="109">
        <f>L21+L23</f>
        <v>2362</v>
      </c>
      <c r="M25" s="100">
        <f>M21+M23</f>
        <v>31.803</v>
      </c>
      <c r="N25" s="109">
        <f>SUM(N21:N24)</f>
        <v>25</v>
      </c>
      <c r="O25" s="100">
        <f>SUM(O21:O24)</f>
        <v>5.481</v>
      </c>
      <c r="P25" s="100">
        <f>SUM(P21:P24)</f>
        <v>351.14099999999996</v>
      </c>
    </row>
    <row r="26" spans="1:16" s="14" customFormat="1" ht="18" customHeight="1">
      <c r="A26" s="76"/>
      <c r="B26" s="103"/>
      <c r="C26" s="106"/>
      <c r="D26" s="15">
        <f>D22+D24</f>
        <v>789.312</v>
      </c>
      <c r="E26" s="16">
        <f>D26/C25*100</f>
        <v>24.553185784192195</v>
      </c>
      <c r="F26" s="17">
        <f>F22+F24</f>
        <v>2284.099</v>
      </c>
      <c r="G26" s="18">
        <f>F26/C25*100</f>
        <v>71.05163369679875</v>
      </c>
      <c r="H26" s="15">
        <f>H22+H24</f>
        <v>447.74</v>
      </c>
      <c r="I26" s="16">
        <f>H26/C25*100</f>
        <v>13.927880740460315</v>
      </c>
      <c r="J26" s="17">
        <f>J22+J24</f>
        <v>3045.147</v>
      </c>
      <c r="K26" s="18">
        <f>J26/C25*100</f>
        <v>94.72560917758189</v>
      </c>
      <c r="L26" s="109"/>
      <c r="M26" s="100"/>
      <c r="N26" s="109"/>
      <c r="O26" s="100"/>
      <c r="P26" s="100"/>
    </row>
    <row r="27" spans="1:16" s="14" customFormat="1" ht="18" customHeight="1">
      <c r="A27" s="76" t="s">
        <v>30</v>
      </c>
      <c r="B27" s="101">
        <v>26175</v>
      </c>
      <c r="C27" s="105">
        <f>10834168/1000</f>
        <v>10834.168</v>
      </c>
      <c r="D27" s="81"/>
      <c r="E27" s="82"/>
      <c r="F27" s="12"/>
      <c r="G27" s="13"/>
      <c r="H27" s="81"/>
      <c r="I27" s="82"/>
      <c r="J27" s="12"/>
      <c r="K27" s="13"/>
      <c r="L27" s="109">
        <v>6772</v>
      </c>
      <c r="M27" s="100">
        <f>59608/1000</f>
        <v>59.608</v>
      </c>
      <c r="N27" s="109">
        <v>33</v>
      </c>
      <c r="O27" s="100">
        <f>6415/1000</f>
        <v>6.415</v>
      </c>
      <c r="P27" s="100">
        <f>189524/1000</f>
        <v>189.524</v>
      </c>
    </row>
    <row r="28" spans="1:16" s="14" customFormat="1" ht="18" customHeight="1">
      <c r="A28" s="76"/>
      <c r="B28" s="101"/>
      <c r="C28" s="106"/>
      <c r="D28" s="15">
        <f>(2454+11012+707093)/1000</f>
        <v>720.559</v>
      </c>
      <c r="E28" s="16">
        <f>D28/C27*100</f>
        <v>6.650801427483864</v>
      </c>
      <c r="F28" s="17">
        <f>4700062/1000</f>
        <v>4700.062</v>
      </c>
      <c r="G28" s="18">
        <f>F28/C27*100</f>
        <v>43.381845287981506</v>
      </c>
      <c r="H28" s="15">
        <f>(1135335+208806)/1000</f>
        <v>1344.141</v>
      </c>
      <c r="I28" s="16">
        <f>H28/C27*100</f>
        <v>12.406499511545327</v>
      </c>
      <c r="J28" s="17">
        <f>8825952/1000</f>
        <v>8825.952</v>
      </c>
      <c r="K28" s="18">
        <f>J28/C27*100</f>
        <v>81.46404966214294</v>
      </c>
      <c r="L28" s="109"/>
      <c r="M28" s="100"/>
      <c r="N28" s="109"/>
      <c r="O28" s="100"/>
      <c r="P28" s="100"/>
    </row>
    <row r="29" spans="1:16" s="14" customFormat="1" ht="18" customHeight="1">
      <c r="A29" s="76" t="s">
        <v>27</v>
      </c>
      <c r="B29" s="101">
        <f>SUM(B25:B28)</f>
        <v>28634</v>
      </c>
      <c r="C29" s="105">
        <f>SUM(C25:C28)</f>
        <v>14048.871</v>
      </c>
      <c r="D29" s="81"/>
      <c r="E29" s="82"/>
      <c r="F29" s="19"/>
      <c r="G29" s="13"/>
      <c r="H29" s="81"/>
      <c r="I29" s="82"/>
      <c r="J29" s="19"/>
      <c r="K29" s="13"/>
      <c r="L29" s="109">
        <f>SUM(L25:L28)</f>
        <v>9134</v>
      </c>
      <c r="M29" s="100">
        <f>SUM(M25:M28)</f>
        <v>91.411</v>
      </c>
      <c r="N29" s="109">
        <f>SUM(N25:N28)</f>
        <v>58</v>
      </c>
      <c r="O29" s="100">
        <f>SUM(O25:O28)</f>
        <v>11.896</v>
      </c>
      <c r="P29" s="100">
        <f>SUM(P25:P28)</f>
        <v>540.665</v>
      </c>
    </row>
    <row r="30" spans="1:16" s="14" customFormat="1" ht="18" customHeight="1">
      <c r="A30" s="76"/>
      <c r="B30" s="101"/>
      <c r="C30" s="106"/>
      <c r="D30" s="15">
        <f>D26+D28</f>
        <v>1509.871</v>
      </c>
      <c r="E30" s="16">
        <f>D30/C29*100</f>
        <v>10.747276418154883</v>
      </c>
      <c r="F30" s="17">
        <f>6984135/1000</f>
        <v>6984.135</v>
      </c>
      <c r="G30" s="18">
        <f>F30/C29*100</f>
        <v>49.71314065023446</v>
      </c>
      <c r="H30" s="15">
        <f>H26+H28</f>
        <v>1791.881</v>
      </c>
      <c r="I30" s="16">
        <f>H30/C29*100</f>
        <v>12.754626332607083</v>
      </c>
      <c r="J30" s="17">
        <f>J26+J28</f>
        <v>11871.098999999998</v>
      </c>
      <c r="K30" s="18">
        <f>J30/C29*100</f>
        <v>84.49859778767987</v>
      </c>
      <c r="L30" s="109"/>
      <c r="M30" s="100"/>
      <c r="N30" s="109"/>
      <c r="O30" s="100"/>
      <c r="P30" s="100"/>
    </row>
    <row r="31" spans="1:16" s="14" customFormat="1" ht="18" customHeight="1">
      <c r="A31" s="76" t="s">
        <v>28</v>
      </c>
      <c r="B31" s="101">
        <f>SUM(B17,B29)</f>
        <v>28896</v>
      </c>
      <c r="C31" s="98">
        <f>C17+C29</f>
        <v>18024.987999999998</v>
      </c>
      <c r="D31" s="81"/>
      <c r="E31" s="82"/>
      <c r="F31" s="19"/>
      <c r="G31" s="13"/>
      <c r="H31" s="81"/>
      <c r="I31" s="82"/>
      <c r="J31" s="19"/>
      <c r="K31" s="13"/>
      <c r="L31" s="109">
        <f>SUM(L29,L17)</f>
        <v>12115</v>
      </c>
      <c r="M31" s="100">
        <f>M17+M29</f>
        <v>191.416</v>
      </c>
      <c r="N31" s="109">
        <f>SUM(N29,N17)</f>
        <v>271</v>
      </c>
      <c r="O31" s="100">
        <f>O17+O29</f>
        <v>111.07639999999999</v>
      </c>
      <c r="P31" s="100">
        <f>P17+P29</f>
        <v>1904.3899999999999</v>
      </c>
    </row>
    <row r="32" spans="1:16" s="14" customFormat="1" ht="18" customHeight="1">
      <c r="A32" s="76"/>
      <c r="B32" s="101"/>
      <c r="C32" s="98"/>
      <c r="D32" s="15">
        <f>D18+D30</f>
        <v>3946.242</v>
      </c>
      <c r="E32" s="16">
        <f>D32/C31*100</f>
        <v>21.893174075899527</v>
      </c>
      <c r="F32" s="17">
        <f>F18+F30</f>
        <v>9941.005000000001</v>
      </c>
      <c r="G32" s="18">
        <f>F32/C31*100</f>
        <v>55.151243373920714</v>
      </c>
      <c r="H32" s="15">
        <f>H18+H30</f>
        <v>3901.916</v>
      </c>
      <c r="I32" s="16">
        <f>H32/C31*100</f>
        <v>21.647259903862352</v>
      </c>
      <c r="J32" s="17">
        <f>J18+J30</f>
        <v>15680.986999999997</v>
      </c>
      <c r="K32" s="18">
        <f>J32/C31*100</f>
        <v>86.9958249070679</v>
      </c>
      <c r="L32" s="109"/>
      <c r="M32" s="100"/>
      <c r="N32" s="109"/>
      <c r="O32" s="100"/>
      <c r="P32" s="100"/>
    </row>
    <row r="33" spans="1:16" ht="14.25" customHeight="1">
      <c r="A33" s="20" t="s">
        <v>31</v>
      </c>
      <c r="B33" s="21"/>
      <c r="C33" s="22"/>
      <c r="D33" s="23"/>
      <c r="E33" s="24"/>
      <c r="F33" s="23"/>
      <c r="G33" s="24"/>
      <c r="H33" s="23"/>
      <c r="I33" s="24"/>
      <c r="J33" s="23"/>
      <c r="K33" s="24"/>
      <c r="L33" s="25"/>
      <c r="M33" s="26"/>
      <c r="N33" s="25"/>
      <c r="O33" s="26"/>
      <c r="P33" s="26"/>
    </row>
    <row r="34" ht="13.5">
      <c r="A34" s="20" t="s">
        <v>32</v>
      </c>
    </row>
    <row r="35" ht="13.5">
      <c r="A35" s="20" t="s">
        <v>33</v>
      </c>
    </row>
    <row r="36" ht="13.5">
      <c r="A36" s="20" t="s">
        <v>34</v>
      </c>
    </row>
    <row r="37" ht="13.5">
      <c r="A37" s="20" t="s">
        <v>35</v>
      </c>
    </row>
    <row r="38" ht="13.5">
      <c r="A38" s="20" t="s">
        <v>41</v>
      </c>
    </row>
  </sheetData>
  <sheetProtection/>
  <mergeCells count="158">
    <mergeCell ref="A1:P1"/>
    <mergeCell ref="A2:A4"/>
    <mergeCell ref="B2:B4"/>
    <mergeCell ref="C2:C4"/>
    <mergeCell ref="D2:G2"/>
    <mergeCell ref="H2:K2"/>
    <mergeCell ref="L2:M2"/>
    <mergeCell ref="N2:O2"/>
    <mergeCell ref="D3:E3"/>
    <mergeCell ref="F3:G4"/>
    <mergeCell ref="N3:N4"/>
    <mergeCell ref="O3:O4"/>
    <mergeCell ref="D4:E4"/>
    <mergeCell ref="H4:I4"/>
    <mergeCell ref="H3:I3"/>
    <mergeCell ref="J3:K4"/>
    <mergeCell ref="L3:L4"/>
    <mergeCell ref="M3:M4"/>
    <mergeCell ref="H5:K5"/>
    <mergeCell ref="L5:L6"/>
    <mergeCell ref="M5:M6"/>
    <mergeCell ref="N5:N6"/>
    <mergeCell ref="A5:A6"/>
    <mergeCell ref="B5:B6"/>
    <mergeCell ref="C5:C6"/>
    <mergeCell ref="D5:G5"/>
    <mergeCell ref="O5:O6"/>
    <mergeCell ref="P5:P6"/>
    <mergeCell ref="A7:A8"/>
    <mergeCell ref="B7:B8"/>
    <mergeCell ref="C7:C8"/>
    <mergeCell ref="D7:E7"/>
    <mergeCell ref="H7:I7"/>
    <mergeCell ref="L7:L8"/>
    <mergeCell ref="M7:M8"/>
    <mergeCell ref="N7:N8"/>
    <mergeCell ref="O7:O8"/>
    <mergeCell ref="P7:P8"/>
    <mergeCell ref="A9:A10"/>
    <mergeCell ref="B9:B10"/>
    <mergeCell ref="C9:C10"/>
    <mergeCell ref="D9:E9"/>
    <mergeCell ref="H9:I9"/>
    <mergeCell ref="L9:L10"/>
    <mergeCell ref="M9:M10"/>
    <mergeCell ref="N9:N10"/>
    <mergeCell ref="O9:O10"/>
    <mergeCell ref="P9:P10"/>
    <mergeCell ref="A11:A12"/>
    <mergeCell ref="B11:B12"/>
    <mergeCell ref="C11:C12"/>
    <mergeCell ref="D11:E11"/>
    <mergeCell ref="H11:I11"/>
    <mergeCell ref="L11:L12"/>
    <mergeCell ref="M11:M12"/>
    <mergeCell ref="N11:N12"/>
    <mergeCell ref="O11:O12"/>
    <mergeCell ref="P11:P12"/>
    <mergeCell ref="A13:A14"/>
    <mergeCell ref="B13:B14"/>
    <mergeCell ref="C13:C14"/>
    <mergeCell ref="D13:E13"/>
    <mergeCell ref="H13:I13"/>
    <mergeCell ref="L13:L14"/>
    <mergeCell ref="M13:M14"/>
    <mergeCell ref="N13:N14"/>
    <mergeCell ref="O13:O14"/>
    <mergeCell ref="P13:P14"/>
    <mergeCell ref="A15:A16"/>
    <mergeCell ref="B15:B16"/>
    <mergeCell ref="C15:C16"/>
    <mergeCell ref="D15:E15"/>
    <mergeCell ref="H15:I15"/>
    <mergeCell ref="L15:L16"/>
    <mergeCell ref="M15:M16"/>
    <mergeCell ref="N15:N16"/>
    <mergeCell ref="O15:O16"/>
    <mergeCell ref="P15:P16"/>
    <mergeCell ref="A17:A18"/>
    <mergeCell ref="B17:B18"/>
    <mergeCell ref="C17:C18"/>
    <mergeCell ref="D17:E17"/>
    <mergeCell ref="H17:I17"/>
    <mergeCell ref="L17:L18"/>
    <mergeCell ref="M17:M18"/>
    <mergeCell ref="N17:N18"/>
    <mergeCell ref="O17:O18"/>
    <mergeCell ref="P17:P18"/>
    <mergeCell ref="A19:A20"/>
    <mergeCell ref="B19:B20"/>
    <mergeCell ref="C19:C20"/>
    <mergeCell ref="D19:E19"/>
    <mergeCell ref="H19:I19"/>
    <mergeCell ref="L19:L20"/>
    <mergeCell ref="M19:M20"/>
    <mergeCell ref="N19:N20"/>
    <mergeCell ref="O19:O20"/>
    <mergeCell ref="P19:P20"/>
    <mergeCell ref="A21:A22"/>
    <mergeCell ref="B21:B22"/>
    <mergeCell ref="C21:C22"/>
    <mergeCell ref="D21:E21"/>
    <mergeCell ref="H21:I21"/>
    <mergeCell ref="L21:L22"/>
    <mergeCell ref="M21:M22"/>
    <mergeCell ref="N21:N22"/>
    <mergeCell ref="O21:O22"/>
    <mergeCell ref="P21:P22"/>
    <mergeCell ref="A23:A24"/>
    <mergeCell ref="B23:B24"/>
    <mergeCell ref="C23:C24"/>
    <mergeCell ref="D23:E23"/>
    <mergeCell ref="H23:I23"/>
    <mergeCell ref="L23:L24"/>
    <mergeCell ref="M23:M24"/>
    <mergeCell ref="N23:N24"/>
    <mergeCell ref="O23:O24"/>
    <mergeCell ref="P23:P24"/>
    <mergeCell ref="A25:A26"/>
    <mergeCell ref="B25:B26"/>
    <mergeCell ref="C25:C26"/>
    <mergeCell ref="D25:E25"/>
    <mergeCell ref="H25:I25"/>
    <mergeCell ref="L25:L26"/>
    <mergeCell ref="M25:M26"/>
    <mergeCell ref="N25:N26"/>
    <mergeCell ref="O25:O26"/>
    <mergeCell ref="P25:P26"/>
    <mergeCell ref="A27:A28"/>
    <mergeCell ref="B27:B28"/>
    <mergeCell ref="C27:C28"/>
    <mergeCell ref="D27:E27"/>
    <mergeCell ref="H27:I27"/>
    <mergeCell ref="M27:M28"/>
    <mergeCell ref="N27:N28"/>
    <mergeCell ref="O27:O28"/>
    <mergeCell ref="P27:P28"/>
    <mergeCell ref="A29:A30"/>
    <mergeCell ref="B29:B30"/>
    <mergeCell ref="C29:C30"/>
    <mergeCell ref="D29:E29"/>
    <mergeCell ref="H29:I29"/>
    <mergeCell ref="H31:I31"/>
    <mergeCell ref="L27:L28"/>
    <mergeCell ref="L31:L32"/>
    <mergeCell ref="M31:M32"/>
    <mergeCell ref="A31:A32"/>
    <mergeCell ref="B31:B32"/>
    <mergeCell ref="C31:C32"/>
    <mergeCell ref="D31:E31"/>
    <mergeCell ref="N31:N32"/>
    <mergeCell ref="O31:O32"/>
    <mergeCell ref="P31:P32"/>
    <mergeCell ref="L29:L30"/>
    <mergeCell ref="M29:M30"/>
    <mergeCell ref="N29:N30"/>
    <mergeCell ref="O29:O30"/>
    <mergeCell ref="P29:P3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和聖</dc:creator>
  <cp:keywords/>
  <dc:description/>
  <cp:lastModifiedBy>松本 美紀</cp:lastModifiedBy>
  <cp:lastPrinted>2019-05-30T05:01:22Z</cp:lastPrinted>
  <dcterms:created xsi:type="dcterms:W3CDTF">2010-03-02T05:16:00Z</dcterms:created>
  <dcterms:modified xsi:type="dcterms:W3CDTF">2021-03-25T02:56:13Z</dcterms:modified>
  <cp:category/>
  <cp:version/>
  <cp:contentType/>
  <cp:contentStatus/>
</cp:coreProperties>
</file>